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bernal\Desktop\Misión Banco Mundial 30 ENE\Herramienta\"/>
    </mc:Choice>
  </mc:AlternateContent>
  <workbookProtection workbookAlgorithmName="SHA-512" workbookHashValue="ohmfHEhLTzIcMuu8MJTav2Og13yTQATtbUG7z8EdCYepBKJ/a/m7OzarVdYXJfp9vcOlmdCaOnxEDtR6N3wWuQ==" workbookSaltValue="IOR/4xe3TNW9+ensLntIWw==" workbookSpinCount="100000" lockStructure="1"/>
  <bookViews>
    <workbookView xWindow="0" yWindow="0" windowWidth="24000" windowHeight="9000" tabRatio="874" activeTab="13"/>
  </bookViews>
  <sheets>
    <sheet name="Instrucciones" sheetId="18" r:id="rId1"/>
    <sheet name="Data" sheetId="23" state="hidden" r:id="rId2"/>
    <sheet name="variantes" sheetId="3" state="hidden" r:id="rId3"/>
    <sheet name="InformaciónProyecto" sheetId="22" r:id="rId4"/>
    <sheet name="Paredes" sheetId="8" r:id="rId5"/>
    <sheet name="Ventanas" sheetId="20" r:id="rId6"/>
    <sheet name="% Ventana-Pared" sheetId="13" r:id="rId7"/>
    <sheet name="% Ventana-Pared (2)" sheetId="15" r:id="rId8"/>
    <sheet name="Sombra" sheetId="17" r:id="rId9"/>
    <sheet name="Techos" sheetId="24" r:id="rId10"/>
    <sheet name="AA" sheetId="16" r:id="rId11"/>
    <sheet name="Evaluacion" sheetId="10" r:id="rId12"/>
    <sheet name="Ref-1" sheetId="25" r:id="rId13"/>
    <sheet name="Ref-2" sheetId="26" r:id="rId14"/>
  </sheets>
  <externalReferences>
    <externalReference r:id="rId15"/>
  </externalReferences>
  <definedNames>
    <definedName name="años">Data!$K$2:$K$6</definedName>
    <definedName name="area">InformaciónProyecto!$E$24</definedName>
    <definedName name="_xlnm.Print_Area" localSheetId="6">'% Ventana-Pared'!$B$1:$N$35</definedName>
    <definedName name="_xlnm.Print_Area" localSheetId="7">'% Ventana-Pared (2)'!$B$1:$O$43</definedName>
    <definedName name="_xlnm.Print_Area" localSheetId="10">AA!$B$1:$M$21</definedName>
    <definedName name="_xlnm.Print_Area" localSheetId="11">Evaluacion!$B$1:$O$59</definedName>
    <definedName name="_xlnm.Print_Area" localSheetId="3">InformaciónProyecto!$A$1:$O$54</definedName>
    <definedName name="_xlnm.Print_Area" localSheetId="8">Sombra!$B$1:$N$44</definedName>
    <definedName name="_xlnm.Print_Area" localSheetId="9">Techos!$B$1:$N$44</definedName>
    <definedName name="_xlnm.Print_Area" localSheetId="5">Ventanas!$B$1:$N$42</definedName>
    <definedName name="calleno">InformaciónProyecto!$E$13</definedName>
    <definedName name="camino">variantes!$B$36</definedName>
    <definedName name="camino_t">variantes!$F$36</definedName>
    <definedName name="camino_tf">variantes!$G$36</definedName>
    <definedName name="camino2">variantes!$C$36</definedName>
    <definedName name="coordX">InformaciónProyecto!$J$15</definedName>
    <definedName name="coordY">InformaciónProyecto!$N$15</definedName>
    <definedName name="COP">AA!$K$20</definedName>
    <definedName name="ddmmchk">Data!$J$25:$K$36</definedName>
    <definedName name="diasmes">Data!$H$2:$H$32</definedName>
    <definedName name="FP_SO">Sombra!$K$44</definedName>
    <definedName name="FP_sur">Sombra!$K$22</definedName>
    <definedName name="hvac_unit">Data!$O$12:$O$13</definedName>
    <definedName name="Info_completado">Data!$O$26</definedName>
    <definedName name="Info_Municipio">InformaciónProyecto!$E$16</definedName>
    <definedName name="Info_Proyecto_Nombre">InformaciónProyecto!$E$11</definedName>
    <definedName name="list1">Data!$P$29</definedName>
    <definedName name="list3">Data!$O$29:$O$31</definedName>
    <definedName name="list5">Data!$O$29:$O$33</definedName>
    <definedName name="listo">InformaciónProyecto!$M$55</definedName>
    <definedName name="Mapaplaca">Data!$L$43</definedName>
    <definedName name="meses">Data!$I$2:$I$13</definedName>
    <definedName name="metodo">variantes!$B$26:$B$33</definedName>
    <definedName name="msg_eval">Evaluacion!$M$4</definedName>
    <definedName name="MV_F1">'% Ventana-Pared'!$N$18</definedName>
    <definedName name="MV_F2">'% Ventana-Pared'!$N$26</definedName>
    <definedName name="MV_Pos">'% Ventana-Pared'!$N$34</definedName>
    <definedName name="MV_Ppal">'% Ventana-Pared'!$N$10</definedName>
    <definedName name="N_Arq">InformaciónProyecto!$E$9</definedName>
    <definedName name="N_Ing">InformaciónProyecto!$E$18</definedName>
    <definedName name="N_prop">InformaciónProyecto!$E$8</definedName>
    <definedName name="N_unidades">InformaciónProyecto!$N$22</definedName>
    <definedName name="n_var">variantes!$E$36</definedName>
    <definedName name="NI_Arq">InformaciónProyecto!$N$9</definedName>
    <definedName name="NI_Ing">InformaciónProyecto!$N$18</definedName>
    <definedName name="niveles">InformaciónProyecto!$E$22</definedName>
    <definedName name="pared_U">Paredes!$O$24</definedName>
    <definedName name="peor_aa">variantes!$X$13</definedName>
    <definedName name="peor_g">variantes!$X$8</definedName>
    <definedName name="peor_p">variantes!$X$6</definedName>
    <definedName name="peor_so">variantes!$X$10</definedName>
    <definedName name="peor_ss">variantes!$X$9</definedName>
    <definedName name="peor_t">variantes!$X$12</definedName>
    <definedName name="peor_v">variantes!$X$7</definedName>
    <definedName name="peor_vp">variantes!$X$11</definedName>
    <definedName name="rango_pcnt">Data!$M$27:$M$36</definedName>
    <definedName name="sino">Data!$K$15:$K$16</definedName>
    <definedName name="t_blank">variantes!$Q$26:$Q$35</definedName>
    <definedName name="t_caminos">variantes!$C$26:$G$33</definedName>
    <definedName name="t_edificios">Data!$A$3:$F$64</definedName>
    <definedName name="t_exe">variantes!$C$4:$C$13</definedName>
    <definedName name="t_lista_larga">Data!$A$2:$A$64</definedName>
    <definedName name="t_mod">variantes!$E$4:$E$13</definedName>
    <definedName name="t_ofi">variantes!$F$4:$J$13</definedName>
    <definedName name="t_res">variantes!$K$4:$O$13</definedName>
    <definedName name="t_sAA">variantes!$D$4:$D$13</definedName>
    <definedName name="t_t1">variantes!$P$4:$T$13</definedName>
    <definedName name="t_t2">variantes!$U$4:$W$13</definedName>
    <definedName name="Techo_U">Techos!$O$23</definedName>
    <definedName name="tf_blank">variantes!$S$26:$S$35</definedName>
    <definedName name="tf_exe">variantes!$Y$4:$Y$13</definedName>
    <definedName name="tf_mod">variantes!$AA$4:$AA$13</definedName>
    <definedName name="tf_ofi">variantes!$AB$4:$AF$13</definedName>
    <definedName name="tf_res">variantes!$AG$4:$AK$13</definedName>
    <definedName name="tf_sAA">variantes!$Z$4:$Z$13</definedName>
    <definedName name="tf_t1">variantes!$AL$4:$AP$13</definedName>
    <definedName name="tf_t2">variantes!$AQ$4:$AS$13</definedName>
    <definedName name="tipo_edif">InformaciónProyecto!$E$20</definedName>
    <definedName name="tipo_eval">InformaciónProyecto!$E$26</definedName>
    <definedName name="UTM_placa">Data!$O$37:$O$41</definedName>
    <definedName name="variante">Evaluacion!$M$15</definedName>
    <definedName name="Ventanas_g">Ventanas!$G$8</definedName>
    <definedName name="Ventanas_U">Ventanas!$C$17</definedName>
    <definedName name="vmtf_AA">variantes!$K$34</definedName>
    <definedName name="vmtf_g">variantes!$K$29</definedName>
    <definedName name="vmtf_p">variantes!$K$27</definedName>
    <definedName name="vmtf_so">variantes!$K$31</definedName>
    <definedName name="vmtf_ss">variantes!$K$30</definedName>
    <definedName name="vmtf_t">variantes!$K$33</definedName>
    <definedName name="vmtf_v">variantes!$K$28</definedName>
    <definedName name="vmtf_vp">variantes!$K$32</definedName>
  </definedNames>
  <calcPr calcId="162913"/>
  <customWorkbookViews>
    <customWorkbookView name="pre impre" guid="{7B33EA46-3291-724B-9673-59A9FC4C8289}" windowWidth="1440" windowHeight="984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10" l="1"/>
  <c r="O2" i="8" l="1"/>
  <c r="O2" i="24"/>
  <c r="B2" i="10" l="1"/>
  <c r="I26" i="13"/>
  <c r="B55" i="10" l="1"/>
  <c r="M24" i="22" l="1"/>
  <c r="O26" i="23" l="1"/>
  <c r="L4" i="22" s="1"/>
  <c r="A36" i="18"/>
  <c r="B2" i="16" l="1"/>
  <c r="B2" i="17"/>
  <c r="B2" i="15"/>
  <c r="B2" i="13"/>
  <c r="B2" i="20"/>
  <c r="B2" i="24"/>
  <c r="B2" i="8"/>
  <c r="Z7" i="3" l="1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Y13" i="3"/>
  <c r="Y12" i="3"/>
  <c r="Y11" i="3"/>
  <c r="Y10" i="3"/>
  <c r="Y9" i="3"/>
  <c r="Y8" i="3"/>
  <c r="Y7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Y6" i="3"/>
  <c r="C37" i="3" l="1"/>
  <c r="B36" i="3"/>
  <c r="C36" i="3" s="1"/>
  <c r="B2" i="22" s="1"/>
  <c r="C6" i="16" l="1"/>
  <c r="C55" i="10"/>
  <c r="M13" i="16"/>
  <c r="M14" i="16"/>
  <c r="M18" i="16"/>
  <c r="M12" i="16"/>
  <c r="M17" i="16"/>
  <c r="C59" i="10"/>
  <c r="M11" i="16"/>
  <c r="M15" i="16"/>
  <c r="M16" i="16"/>
  <c r="M10" i="16"/>
  <c r="M9" i="16"/>
  <c r="AC5" i="18"/>
  <c r="G36" i="3"/>
  <c r="E36" i="3"/>
  <c r="F36" i="3"/>
  <c r="D36" i="3"/>
  <c r="Q19" i="24"/>
  <c r="O19" i="24"/>
  <c r="T15" i="24"/>
  <c r="S15" i="24"/>
  <c r="X15" i="24" s="1"/>
  <c r="O15" i="24"/>
  <c r="Q15" i="24" s="1"/>
  <c r="X14" i="24"/>
  <c r="T14" i="24"/>
  <c r="S14" i="24"/>
  <c r="O14" i="24"/>
  <c r="Q14" i="24" s="1"/>
  <c r="W13" i="24"/>
  <c r="W14" i="24" s="1"/>
  <c r="W15" i="24" s="1"/>
  <c r="S13" i="24"/>
  <c r="T13" i="24" s="1"/>
  <c r="O13" i="24"/>
  <c r="Q13" i="24" s="1"/>
  <c r="W12" i="24"/>
  <c r="V12" i="24"/>
  <c r="V13" i="24" s="1"/>
  <c r="V14" i="24" s="1"/>
  <c r="V15" i="24" s="1"/>
  <c r="S12" i="24"/>
  <c r="T12" i="24" s="1"/>
  <c r="O12" i="24"/>
  <c r="Q12" i="24" s="1"/>
  <c r="W11" i="24"/>
  <c r="V11" i="24"/>
  <c r="S11" i="24"/>
  <c r="T11" i="24" s="1"/>
  <c r="O11" i="24"/>
  <c r="K34" i="3"/>
  <c r="J28" i="3"/>
  <c r="J34" i="3"/>
  <c r="J31" i="3"/>
  <c r="K30" i="3"/>
  <c r="J32" i="3"/>
  <c r="K33" i="3"/>
  <c r="K31" i="3"/>
  <c r="J27" i="3"/>
  <c r="J30" i="3"/>
  <c r="K32" i="3"/>
  <c r="J33" i="3"/>
  <c r="K29" i="3"/>
  <c r="K27" i="3"/>
  <c r="K28" i="3"/>
  <c r="J29" i="3"/>
  <c r="E31" i="10" l="1"/>
  <c r="E28" i="10"/>
  <c r="Q11" i="24"/>
  <c r="Q17" i="24" s="1"/>
  <c r="O17" i="24"/>
  <c r="K20" i="16"/>
  <c r="I46" i="10" s="1"/>
  <c r="X13" i="24"/>
  <c r="E42" i="10"/>
  <c r="E40" i="10"/>
  <c r="E38" i="10"/>
  <c r="E36" i="10"/>
  <c r="E34" i="10"/>
  <c r="E25" i="10"/>
  <c r="E22" i="10"/>
  <c r="E18" i="10"/>
  <c r="E46" i="10"/>
  <c r="X11" i="24"/>
  <c r="X12" i="24"/>
  <c r="O31" i="10" l="1"/>
  <c r="Q20" i="24"/>
  <c r="O46" i="10"/>
  <c r="X20" i="24"/>
  <c r="O20" i="24" s="1"/>
  <c r="O21" i="24" l="1"/>
  <c r="M20" i="24" s="1"/>
  <c r="O23" i="24" s="1"/>
  <c r="M19" i="24"/>
  <c r="E17" i="24"/>
  <c r="B54" i="10" l="1"/>
  <c r="C54" i="10"/>
  <c r="B56" i="10"/>
  <c r="C56" i="10"/>
  <c r="B57" i="10"/>
  <c r="C57" i="10"/>
  <c r="B58" i="10"/>
  <c r="C58" i="10"/>
  <c r="B59" i="10"/>
  <c r="E15" i="10" l="1"/>
  <c r="M14" i="23"/>
  <c r="M15" i="23"/>
  <c r="M16" i="23"/>
  <c r="M17" i="23"/>
  <c r="M18" i="23"/>
  <c r="M19" i="23"/>
  <c r="M20" i="23"/>
  <c r="M21" i="23"/>
  <c r="M22" i="23"/>
  <c r="M23" i="23"/>
  <c r="M13" i="23"/>
  <c r="R37" i="22"/>
  <c r="H36" i="22" s="1"/>
  <c r="K22" i="23"/>
  <c r="E13" i="10"/>
  <c r="E12" i="10"/>
  <c r="I28" i="10"/>
  <c r="O28" i="10" s="1"/>
  <c r="B53" i="10"/>
  <c r="C53" i="10"/>
  <c r="J42" i="23"/>
  <c r="J41" i="23"/>
  <c r="I38" i="23" s="1"/>
  <c r="J40" i="23"/>
  <c r="J39" i="23"/>
  <c r="K20" i="23"/>
  <c r="J20" i="23" s="1"/>
  <c r="J49" i="22"/>
  <c r="C45" i="22"/>
  <c r="J37" i="22"/>
  <c r="C28" i="22"/>
  <c r="O18" i="23" l="1"/>
  <c r="J22" i="23"/>
  <c r="J21" i="23"/>
  <c r="Z17" i="20" l="1"/>
  <c r="K17" i="20"/>
  <c r="I17" i="20"/>
  <c r="M8" i="20"/>
  <c r="M17" i="20" l="1"/>
  <c r="C17" i="20" s="1"/>
  <c r="I7" i="13" l="1"/>
  <c r="I10" i="13"/>
  <c r="M10" i="13" s="1"/>
  <c r="I25" i="10"/>
  <c r="O25" i="10" s="1"/>
  <c r="E10" i="10"/>
  <c r="N9" i="10"/>
  <c r="E8" i="10"/>
  <c r="E9" i="10"/>
  <c r="I31" i="13"/>
  <c r="I15" i="13"/>
  <c r="I23" i="13"/>
  <c r="M26" i="13"/>
  <c r="O11" i="8"/>
  <c r="Q11" i="8" s="1"/>
  <c r="S11" i="8"/>
  <c r="T11" i="8" s="1"/>
  <c r="I18" i="13"/>
  <c r="M18" i="13" s="1"/>
  <c r="I34" i="13"/>
  <c r="M34" i="13" s="1"/>
  <c r="C52" i="10"/>
  <c r="B52" i="10"/>
  <c r="C51" i="10"/>
  <c r="B51" i="10"/>
  <c r="C49" i="10"/>
  <c r="B49" i="10"/>
  <c r="C50" i="10"/>
  <c r="B50" i="10"/>
  <c r="M12" i="23"/>
  <c r="Q19" i="8"/>
  <c r="W11" i="8" s="1"/>
  <c r="W12" i="8" s="1"/>
  <c r="W13" i="8" s="1"/>
  <c r="W14" i="8" s="1"/>
  <c r="W15" i="8" s="1"/>
  <c r="O12" i="8"/>
  <c r="Q12" i="8" s="1"/>
  <c r="O13" i="8"/>
  <c r="Q13" i="8" s="1"/>
  <c r="O14" i="8"/>
  <c r="O15" i="8"/>
  <c r="Q14" i="8"/>
  <c r="Q15" i="8"/>
  <c r="M19" i="8"/>
  <c r="E17" i="8"/>
  <c r="S15" i="8"/>
  <c r="X15" i="8" s="1"/>
  <c r="S14" i="8"/>
  <c r="T14" i="8" s="1"/>
  <c r="S13" i="8"/>
  <c r="T13" i="8" s="1"/>
  <c r="S12" i="8"/>
  <c r="T12" i="8" s="1"/>
  <c r="M5" i="23" l="1"/>
  <c r="M6" i="23"/>
  <c r="X12" i="8"/>
  <c r="N18" i="13"/>
  <c r="I36" i="10" s="1"/>
  <c r="O36" i="10" s="1"/>
  <c r="M8" i="23" s="1"/>
  <c r="N34" i="13"/>
  <c r="N26" i="13"/>
  <c r="N10" i="13"/>
  <c r="I34" i="10" s="1"/>
  <c r="O34" i="10" s="1"/>
  <c r="M7" i="23" s="1"/>
  <c r="M4" i="23"/>
  <c r="Q17" i="8"/>
  <c r="O17" i="8"/>
  <c r="X11" i="8"/>
  <c r="M23" i="13"/>
  <c r="N23" i="13" s="1"/>
  <c r="M15" i="13"/>
  <c r="N15" i="13" s="1"/>
  <c r="T15" i="8"/>
  <c r="X13" i="8"/>
  <c r="O19" i="8"/>
  <c r="V11" i="8" s="1"/>
  <c r="V12" i="8" s="1"/>
  <c r="V13" i="8" s="1"/>
  <c r="V14" i="8" s="1"/>
  <c r="V15" i="8" s="1"/>
  <c r="M31" i="13"/>
  <c r="N31" i="13" s="1"/>
  <c r="M7" i="13"/>
  <c r="N7" i="13" s="1"/>
  <c r="X14" i="8"/>
  <c r="I40" i="10" l="1"/>
  <c r="O40" i="10" s="1"/>
  <c r="M10" i="23" s="1"/>
  <c r="I38" i="10"/>
  <c r="O38" i="10" s="1"/>
  <c r="M9" i="23" s="1"/>
  <c r="Q20" i="8"/>
  <c r="X20" i="8"/>
  <c r="I22" i="10"/>
  <c r="O20" i="8" l="1"/>
  <c r="O21" i="8" s="1"/>
  <c r="M20" i="8" s="1"/>
  <c r="O22" i="10"/>
  <c r="M3" i="23" s="1"/>
  <c r="O24" i="8" l="1"/>
  <c r="I18" i="10" s="1"/>
  <c r="O18" i="10" s="1"/>
  <c r="M2" i="23" s="1"/>
  <c r="I42" i="10"/>
  <c r="O42" i="10" s="1"/>
  <c r="M11" i="23" s="1"/>
  <c r="M24" i="23" l="1"/>
  <c r="M4" i="10" s="1"/>
</calcChain>
</file>

<file path=xl/comments1.xml><?xml version="1.0" encoding="utf-8"?>
<comments xmlns="http://schemas.openxmlformats.org/spreadsheetml/2006/main">
  <authors>
    <author>Author</author>
    <author>Julius</author>
  </authors>
  <commentList>
    <comment ref="L9" authorId="0" shapeId="0">
      <text>
        <r>
          <rPr>
            <sz val="8"/>
            <color indexed="81"/>
            <rFont val="Tahoma"/>
            <family val="2"/>
          </rPr>
          <t>Escriba su número de idoneidad sin guiones. Se auto-corrige así: Antes de año 2000 00nn-nnn-nnn. A partir del año 2000 nnnn-nnn-nnn.</t>
        </r>
      </text>
    </comment>
    <comment ref="D15" authorId="1" shapeId="0">
      <text>
        <r>
          <rPr>
            <sz val="9"/>
            <color indexed="81"/>
            <rFont val="Tahoma"/>
            <family val="2"/>
          </rPr>
          <t>Usar Google Earth con coordenadas UTM84</t>
        </r>
      </text>
    </comment>
    <comment ref="E15" authorId="1" shapeId="0">
      <text>
        <r>
          <rPr>
            <sz val="9"/>
            <color indexed="81"/>
            <rFont val="Tahoma"/>
            <family val="2"/>
          </rPr>
          <t>Refiérase a la pestaña Ref-2</t>
        </r>
      </text>
    </comment>
    <comment ref="J15" authorId="1" shapeId="0">
      <text>
        <r>
          <rPr>
            <sz val="9"/>
            <color indexed="81"/>
            <rFont val="Tahoma"/>
            <family val="2"/>
          </rPr>
          <t xml:space="preserve">6-7 cifras enteras y 2 decimales
</t>
        </r>
      </text>
    </comment>
    <comment ref="N15" authorId="1" shapeId="0">
      <text>
        <r>
          <rPr>
            <sz val="9"/>
            <color indexed="81"/>
            <rFont val="Tahoma"/>
            <family val="2"/>
          </rPr>
          <t>6-7 cifras enteras y 2 decimales</t>
        </r>
      </text>
    </comment>
    <comment ref="L18" authorId="0" shapeId="0">
      <text>
        <r>
          <rPr>
            <sz val="8"/>
            <color indexed="81"/>
            <rFont val="Tahoma"/>
            <family val="2"/>
          </rPr>
          <t>Escriba su número de idoneidad sin guiones. Se auto-corrige así: Antes de año 2000 00nn-nnn-nnn. A partir del año 2000 nnnn-nnn-nnn.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Según su uso principal, entiéndase más de 50% del edificio es de este uso.</t>
        </r>
      </text>
    </comment>
    <comment ref="L20" authorId="0" shapeId="0">
      <text>
        <r>
          <rPr>
            <sz val="8"/>
            <color indexed="81"/>
            <rFont val="Tahoma"/>
            <family val="2"/>
          </rPr>
          <t>Porcentage del edificio cuyo uso corresponde al tipo de edificación selecto. Valor aproximado.</t>
        </r>
      </text>
    </comment>
  </commentList>
</comments>
</file>

<file path=xl/comments2.xml><?xml version="1.0" encoding="utf-8"?>
<comments xmlns="http://schemas.openxmlformats.org/spreadsheetml/2006/main">
  <authors>
    <author>LCA</author>
  </authors>
  <commentList>
    <comment ref="G8" authorId="0" shapeId="0">
      <text>
        <r>
          <rPr>
            <sz val="10"/>
            <color indexed="81"/>
            <rFont val="Calibri"/>
            <family val="2"/>
          </rPr>
          <t xml:space="preserve">Insertar aquí el valor del certificado. 
Si se calcula mediante el valor CS, escribir:  =L8
</t>
        </r>
      </text>
    </comment>
  </commentList>
</comments>
</file>

<file path=xl/sharedStrings.xml><?xml version="1.0" encoding="utf-8"?>
<sst xmlns="http://schemas.openxmlformats.org/spreadsheetml/2006/main" count="933" uniqueCount="530">
  <si>
    <t xml:space="preserve">1. INFORMACIÓN DEL PROYECTO </t>
  </si>
  <si>
    <t>DATOS GENERALES DEL PROYECTO</t>
  </si>
  <si>
    <t>Municipio:</t>
  </si>
  <si>
    <t>Dirección (calle y nº):</t>
  </si>
  <si>
    <t>Número de idoneidad:</t>
  </si>
  <si>
    <t>Tipo de edificación:</t>
  </si>
  <si>
    <t>Nombre del proyecto:</t>
  </si>
  <si>
    <t>m2</t>
  </si>
  <si>
    <r>
      <t>m</t>
    </r>
    <r>
      <rPr>
        <vertAlign val="superscript"/>
        <sz val="10"/>
        <color theme="1"/>
        <rFont val="Arial (Cuerpo)"/>
      </rPr>
      <t>2</t>
    </r>
  </si>
  <si>
    <t>Concepto</t>
  </si>
  <si>
    <t>Valor meta</t>
  </si>
  <si>
    <t>Origen de los valores</t>
  </si>
  <si>
    <t>Cumple</t>
  </si>
  <si>
    <t>Valor U de ventana</t>
  </si>
  <si>
    <t>(W/m2K)</t>
  </si>
  <si>
    <t>Valor reportado</t>
  </si>
  <si>
    <t xml:space="preserve">Certificado producto </t>
  </si>
  <si>
    <t>Certificado producto (𝝺)</t>
  </si>
  <si>
    <r>
      <t>Certificado producto (</t>
    </r>
    <r>
      <rPr>
        <b/>
        <sz val="11"/>
        <color theme="1"/>
        <rFont val="Arial"/>
        <family val="2"/>
        <scheme val="minor"/>
      </rPr>
      <t>U</t>
    </r>
    <r>
      <rPr>
        <sz val="11"/>
        <color theme="1"/>
        <rFont val="Arial"/>
        <family val="2"/>
        <scheme val="minor"/>
      </rPr>
      <t>)</t>
    </r>
  </si>
  <si>
    <r>
      <t>Certificado producto (</t>
    </r>
    <r>
      <rPr>
        <b/>
        <sz val="11"/>
        <color theme="1"/>
        <rFont val="Arial"/>
        <family val="2"/>
        <scheme val="minor"/>
      </rPr>
      <t>g</t>
    </r>
    <r>
      <rPr>
        <sz val="11"/>
        <color theme="1"/>
        <rFont val="Arial"/>
        <family val="2"/>
        <scheme val="minor"/>
      </rPr>
      <t>)</t>
    </r>
  </si>
  <si>
    <r>
      <t>Certificado producto (</t>
    </r>
    <r>
      <rPr>
        <b/>
        <sz val="11"/>
        <color theme="1"/>
        <rFont val="Arial"/>
        <family val="2"/>
        <scheme val="minor"/>
      </rPr>
      <t>CS</t>
    </r>
    <r>
      <rPr>
        <sz val="11"/>
        <color theme="1"/>
        <rFont val="Arial"/>
        <family val="2"/>
        <scheme val="minor"/>
      </rPr>
      <t>)</t>
    </r>
  </si>
  <si>
    <r>
      <rPr>
        <b/>
        <sz val="11"/>
        <color theme="1"/>
        <rFont val="Arial"/>
        <family val="2"/>
        <scheme val="minor"/>
      </rPr>
      <t xml:space="preserve">Valor U </t>
    </r>
    <r>
      <rPr>
        <sz val="11"/>
        <color theme="1"/>
        <rFont val="Arial"/>
        <family val="2"/>
        <scheme val="minor"/>
      </rPr>
      <t>de ventana</t>
    </r>
  </si>
  <si>
    <r>
      <rPr>
        <b/>
        <sz val="11"/>
        <color theme="1"/>
        <rFont val="Arial"/>
        <family val="2"/>
        <scheme val="minor"/>
      </rPr>
      <t>Valor g</t>
    </r>
    <r>
      <rPr>
        <sz val="11"/>
        <color theme="1"/>
        <rFont val="Arial"/>
        <family val="2"/>
        <scheme val="minor"/>
      </rPr>
      <t xml:space="preserve"> de ventana</t>
    </r>
  </si>
  <si>
    <r>
      <rPr>
        <b/>
        <sz val="11"/>
        <color theme="1"/>
        <rFont val="Arial"/>
        <family val="2"/>
        <scheme val="minor"/>
      </rPr>
      <t xml:space="preserve">Valor U </t>
    </r>
    <r>
      <rPr>
        <sz val="11"/>
        <color theme="1"/>
        <rFont val="Arial"/>
        <family val="2"/>
        <scheme val="minor"/>
      </rPr>
      <t>de techo</t>
    </r>
  </si>
  <si>
    <t>Aire acondicionado</t>
  </si>
  <si>
    <t>COP</t>
  </si>
  <si>
    <t>Ficha técnica</t>
  </si>
  <si>
    <r>
      <rPr>
        <b/>
        <sz val="11"/>
        <color theme="1"/>
        <rFont val="Arial"/>
        <family val="2"/>
        <scheme val="minor"/>
      </rPr>
      <t xml:space="preserve">Sombra </t>
    </r>
    <r>
      <rPr>
        <sz val="11"/>
        <color theme="1"/>
        <rFont val="Arial"/>
        <family val="2"/>
        <scheme val="minor"/>
      </rPr>
      <t>ventana Sur</t>
    </r>
  </si>
  <si>
    <t>Metros</t>
  </si>
  <si>
    <r>
      <rPr>
        <b/>
        <sz val="11"/>
        <color theme="1"/>
        <rFont val="Arial"/>
        <family val="2"/>
        <scheme val="minor"/>
      </rPr>
      <t xml:space="preserve">Sombra </t>
    </r>
    <r>
      <rPr>
        <sz val="11"/>
        <color theme="1"/>
        <rFont val="Arial"/>
        <family val="2"/>
        <scheme val="minor"/>
      </rPr>
      <t>ventana Oeste</t>
    </r>
  </si>
  <si>
    <t xml:space="preserve">CONCEPTOS PARA EVALUACIÓN </t>
  </si>
  <si>
    <t>Los planos indican claramente la composición y valores de las ventanas exteriores</t>
  </si>
  <si>
    <t>Los planos indican claramente los elementos de sombreado en ventanas Sur</t>
  </si>
  <si>
    <t>Los planos indican claramente los elementos de sombreado en ventanas Oeste</t>
  </si>
  <si>
    <t>Los planos indican claramente el área de elementos opacos y transparentes</t>
  </si>
  <si>
    <t>Los planos indican claramente la composición y valores del techo</t>
  </si>
  <si>
    <t>Los planos indican claramente la instalación del equipo de HVAC</t>
  </si>
  <si>
    <t>Se entregan certificados y/o fichas técnicas de los materiales que componen las ventanas</t>
  </si>
  <si>
    <t>Se entregan certificados y/o fichas técnicas de los materiales que componen el techo</t>
  </si>
  <si>
    <t>Se entregan certificados y/o fichas técnicas del sistema de aire acondicionado</t>
  </si>
  <si>
    <t>Detalle de ventana tipo</t>
  </si>
  <si>
    <t>Detalle de techo tipo</t>
  </si>
  <si>
    <t>Valor calculado / verificado</t>
  </si>
  <si>
    <t>Tipo de acristalamiento</t>
  </si>
  <si>
    <t>Valor g</t>
  </si>
  <si>
    <t>Valor U</t>
  </si>
  <si>
    <t>Valor CS</t>
  </si>
  <si>
    <t xml:space="preserve">Tipo de marco </t>
  </si>
  <si>
    <t>Ancho de marco</t>
  </si>
  <si>
    <t>Área marco</t>
  </si>
  <si>
    <t>Área vano</t>
  </si>
  <si>
    <t>Largo vano</t>
  </si>
  <si>
    <t>Área cristal</t>
  </si>
  <si>
    <t>Alto vano</t>
  </si>
  <si>
    <t xml:space="preserve">Valor g </t>
  </si>
  <si>
    <t>Cálculo valor g</t>
  </si>
  <si>
    <t>Cristal sencillo 4mm</t>
  </si>
  <si>
    <t>Cristal doble 4-12-4 cámara aire</t>
  </si>
  <si>
    <t>Cristal doble 4-16-4 cámara aire</t>
  </si>
  <si>
    <t>Cristal sencillo 4mm control solar</t>
  </si>
  <si>
    <t>Valores comunes de referencia para acristalamientos</t>
  </si>
  <si>
    <t xml:space="preserve">Cristal sencillo 6mm control solar </t>
  </si>
  <si>
    <t>Valores comunes de referencia para marcos</t>
  </si>
  <si>
    <t>Metálico sin división térmica</t>
  </si>
  <si>
    <t>Metálico con división térmica</t>
  </si>
  <si>
    <t xml:space="preserve">Madera </t>
  </si>
  <si>
    <t>PVC hueco 3 cámaras</t>
  </si>
  <si>
    <t xml:space="preserve">PVC hueco 2 cámaras </t>
  </si>
  <si>
    <t>Rsi</t>
  </si>
  <si>
    <t>Rse</t>
  </si>
  <si>
    <t>Espesor</t>
  </si>
  <si>
    <t>𝝺</t>
  </si>
  <si>
    <t>(W/mK)</t>
  </si>
  <si>
    <t>Valor U techo</t>
  </si>
  <si>
    <t>Superficie parcial 1</t>
  </si>
  <si>
    <t>Superficie parcial 2</t>
  </si>
  <si>
    <t>Porcentaje superficie parcial 1</t>
  </si>
  <si>
    <t>Nombre de la porción</t>
  </si>
  <si>
    <t>RT'</t>
  </si>
  <si>
    <t>RT</t>
  </si>
  <si>
    <t>e</t>
  </si>
  <si>
    <t>RT¨</t>
  </si>
  <si>
    <t>Cálculo auxiliar</t>
  </si>
  <si>
    <t>Espesor total</t>
  </si>
  <si>
    <t>Valor U de ventana de certificado</t>
  </si>
  <si>
    <t>Valor U de techo de certificado</t>
  </si>
  <si>
    <t>si</t>
  </si>
  <si>
    <t>metros</t>
  </si>
  <si>
    <t>Nombre del propietario:</t>
  </si>
  <si>
    <t xml:space="preserve">Todas las ventanas Sur </t>
  </si>
  <si>
    <t xml:space="preserve">Valor promedio </t>
  </si>
  <si>
    <t>Código de trámite:</t>
  </si>
  <si>
    <t>Número de trámite:</t>
  </si>
  <si>
    <t>Todas las ventanas Oeste</t>
  </si>
  <si>
    <t xml:space="preserve">Fachada principal </t>
  </si>
  <si>
    <t>Largo</t>
  </si>
  <si>
    <t>Área</t>
  </si>
  <si>
    <t xml:space="preserve">Acristalamiento fachada ppal. </t>
  </si>
  <si>
    <t>Nº ventanas</t>
  </si>
  <si>
    <t>(m)</t>
  </si>
  <si>
    <t>(m2)</t>
  </si>
  <si>
    <t>Área opaca</t>
  </si>
  <si>
    <t>Fachada lateral 1</t>
  </si>
  <si>
    <t>Colindancia</t>
  </si>
  <si>
    <t>Fachada lateral  2</t>
  </si>
  <si>
    <t>Acristalamiento fachada lateral 2</t>
  </si>
  <si>
    <t>Acristalamiento fachada lateral 1</t>
  </si>
  <si>
    <t>Fachada posterior</t>
  </si>
  <si>
    <t>Acristalamiento fachada posterior</t>
  </si>
  <si>
    <t>Alto</t>
  </si>
  <si>
    <t>% transparente</t>
  </si>
  <si>
    <t>no</t>
  </si>
  <si>
    <r>
      <t xml:space="preserve">Área transparente </t>
    </r>
    <r>
      <rPr>
        <sz val="8"/>
        <color theme="1"/>
        <rFont val="Arial (Cuerpo)"/>
      </rPr>
      <t>(m2)</t>
    </r>
  </si>
  <si>
    <t>% opaca</t>
  </si>
  <si>
    <t>P  Fachada principal</t>
  </si>
  <si>
    <t>1  Fachada lateral 1</t>
  </si>
  <si>
    <t>2  Fachada lateral 2</t>
  </si>
  <si>
    <t>P  Fachada posterior</t>
  </si>
  <si>
    <t xml:space="preserve">Detalle fachada principal </t>
  </si>
  <si>
    <t>Detalle fachada lateral 1</t>
  </si>
  <si>
    <t>Detalle fachada lateral 2</t>
  </si>
  <si>
    <t>Detalle fachada posterior</t>
  </si>
  <si>
    <t xml:space="preserve">Detalle fachada Sur. Sombra en ventanas. </t>
  </si>
  <si>
    <t xml:space="preserve">Detalle fachada Oeste. Sombra en ventanas. </t>
  </si>
  <si>
    <t xml:space="preserve">Yo </t>
  </si>
  <si>
    <t xml:space="preserve">, declaro que he revisado la información del </t>
  </si>
  <si>
    <t>Se emite la presente evaluación siendo el</t>
  </si>
  <si>
    <t>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</si>
  <si>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</si>
  <si>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</si>
  <si>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</si>
  <si>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</si>
  <si>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</si>
  <si>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</si>
  <si>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</si>
  <si>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</si>
  <si>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</si>
  <si>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</si>
  <si>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</si>
  <si>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</si>
  <si>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Nº</t>
  </si>
  <si>
    <t>INSTRUCCIONES DE LLENADO</t>
  </si>
  <si>
    <t>Tipos de celdas</t>
  </si>
  <si>
    <t xml:space="preserve">Celda gris con línea inferior: </t>
  </si>
  <si>
    <t>Celda con valores calculados a partir de información introducida</t>
  </si>
  <si>
    <t xml:space="preserve">Celda azul con líneas grises, negritas: </t>
  </si>
  <si>
    <t xml:space="preserve">Celda con valores ingresados a partir de certificados </t>
  </si>
  <si>
    <t>Celda celeste con líneas grises, negritas:</t>
  </si>
  <si>
    <t>Casilla de selección:</t>
  </si>
  <si>
    <t xml:space="preserve">  Marcar la opción correspondiente</t>
  </si>
  <si>
    <t xml:space="preserve">si </t>
  </si>
  <si>
    <t>Celda gris con líneas grises:</t>
  </si>
  <si>
    <t>Celda con valor vínculado a un cálculo o a otra celda</t>
  </si>
  <si>
    <t>Celda con valor vínculado a un cálculo o a otra celda. No cumple requisitos técnicos.</t>
  </si>
  <si>
    <t>Celda gris líneas grises, letra roja, negritas:</t>
  </si>
  <si>
    <t>Celda gris líneas grises, letra azul, negritas:</t>
  </si>
  <si>
    <t>Llenado de hojas</t>
  </si>
  <si>
    <t>InformaciónProyecto</t>
  </si>
  <si>
    <t>Nota</t>
  </si>
  <si>
    <t>Celda con valor vínculado a un cálculo o a otra celda. Cumple requisitos técnicos.</t>
  </si>
  <si>
    <t xml:space="preserve">de </t>
  </si>
  <si>
    <t>Idoneidad N°</t>
  </si>
  <si>
    <t xml:space="preserve">, declaro que soy el arquitecto responsable </t>
  </si>
  <si>
    <t>del diseño del presente proyecto y he proporcionado los detalles de diseño e información de materiales a</t>
  </si>
  <si>
    <t>Numero de Serie</t>
  </si>
  <si>
    <t>Nombre profesional idóneo:</t>
  </si>
  <si>
    <r>
      <rPr>
        <b/>
        <sz val="11"/>
        <color theme="1"/>
        <rFont val="Arial"/>
        <family val="2"/>
        <scheme val="minor"/>
      </rPr>
      <t xml:space="preserve">Valor U </t>
    </r>
    <r>
      <rPr>
        <sz val="11"/>
        <color theme="1"/>
        <rFont val="Arial"/>
        <family val="2"/>
        <scheme val="minor"/>
      </rPr>
      <t xml:space="preserve">de pared </t>
    </r>
  </si>
  <si>
    <t>Detalle de pared tipo</t>
  </si>
  <si>
    <t>Valor U de pared de certificado</t>
  </si>
  <si>
    <t>Celda de introducción de datos por parte del profesional idoneo</t>
  </si>
  <si>
    <t>Los planos indican claramente la composición y valores de las paredes exteriores</t>
  </si>
  <si>
    <t>Se entregan certificados y/o fichas técnicas de los materiales que componen las paredes</t>
  </si>
  <si>
    <t>Nº idoneidad:</t>
  </si>
  <si>
    <t>utilizar en el mismo, para que el profesional idóneo realizara la presente evaluación energética.</t>
  </si>
  <si>
    <t>Nombre del arquitecto idóneo:</t>
  </si>
  <si>
    <t>Nombre del ingeniero idóneo:</t>
  </si>
  <si>
    <t>% Primario</t>
  </si>
  <si>
    <t>Número de niveles:</t>
  </si>
  <si>
    <t xml:space="preserve">Número de unidades por nivel: </t>
  </si>
  <si>
    <t>Área cerrada</t>
  </si>
  <si>
    <t>Camino de Cumplimiento:</t>
  </si>
  <si>
    <t>Edificio Exento</t>
  </si>
  <si>
    <t xml:space="preserve">edifico citado arriba y, después de efectuar la evaluación del proyecto, confirmo que cumple con los requisitos </t>
  </si>
  <si>
    <t xml:space="preserve">Se anexa el formato de evaluación del proyecto asi como sus certificados y/o fichas técnicas de los materiales. </t>
  </si>
  <si>
    <t>Error</t>
  </si>
  <si>
    <t>Firma del Ingeniero Idóneo</t>
  </si>
  <si>
    <t/>
  </si>
  <si>
    <t>Firma del Arquitecto idóneo</t>
  </si>
  <si>
    <t>¿Listo para entregar?</t>
  </si>
  <si>
    <t>No</t>
  </si>
  <si>
    <t>Apartamentos, PH, Edificio Residencial</t>
  </si>
  <si>
    <t>Modelado Dinámico</t>
  </si>
  <si>
    <t>Tipo de Edificacion (listado)</t>
  </si>
  <si>
    <t>IDES</t>
  </si>
  <si>
    <t>m2 min</t>
  </si>
  <si>
    <t>Clasificacion</t>
  </si>
  <si>
    <t>Fuera de rango</t>
  </si>
  <si>
    <t>Explicacion</t>
  </si>
  <si>
    <t>diasmes</t>
  </si>
  <si>
    <t>meses</t>
  </si>
  <si>
    <t>años</t>
  </si>
  <si>
    <t>No.Preg</t>
  </si>
  <si>
    <t>Valorfijo</t>
  </si>
  <si>
    <t>Carrera</t>
  </si>
  <si>
    <t>Cod_I</t>
  </si>
  <si>
    <t>Ingeniero Mecánico</t>
  </si>
  <si>
    <t>Aplica</t>
  </si>
  <si>
    <t>Residencial</t>
  </si>
  <si>
    <t>Ingeniero Mecánico Electricista</t>
  </si>
  <si>
    <t>Banco, casa de empeño, entidad de prestamos o actividad financiera</t>
  </si>
  <si>
    <t>Oficinas</t>
  </si>
  <si>
    <t>Centros de trabajo</t>
  </si>
  <si>
    <t>Ingeniero Electromecánico</t>
  </si>
  <si>
    <t>Billar (Esparcimiento)</t>
  </si>
  <si>
    <t>Terciario Tipo 2</t>
  </si>
  <si>
    <t>Tipo 1</t>
  </si>
  <si>
    <t>centros de esparcimiento</t>
  </si>
  <si>
    <t>Ingeniero Mecánico Industrial</t>
  </si>
  <si>
    <t>Ingeniero En Técnicas Energéticas</t>
  </si>
  <si>
    <t>Casa de Alojamiento Ocasional (hotel)</t>
  </si>
  <si>
    <t>hoteles</t>
  </si>
  <si>
    <t>Arquitecto</t>
  </si>
  <si>
    <t>Casa de empeño, entidad de prestamos o actividad financiera</t>
  </si>
  <si>
    <t>Arquitecto Estructural</t>
  </si>
  <si>
    <t>Casa de Hospedaje , Pensión (hotel)</t>
  </si>
  <si>
    <t>Arquitecto Urbanista</t>
  </si>
  <si>
    <t>Centro Comercial (Mall, Shopping Center, etc.)</t>
  </si>
  <si>
    <t>Centros comerciales</t>
  </si>
  <si>
    <t>Centro de Convenciones (esparcimiento)</t>
  </si>
  <si>
    <t>Centro de Investigación</t>
  </si>
  <si>
    <t>Terciario Tipo 1</t>
  </si>
  <si>
    <t>Cine o Teatro</t>
  </si>
  <si>
    <t>teatros</t>
  </si>
  <si>
    <t>Compañía de Seguros (oficinas)</t>
  </si>
  <si>
    <t>Si o no</t>
  </si>
  <si>
    <t>Camino de Cumplimiento</t>
  </si>
  <si>
    <t>Depósito Comercial (T2)</t>
  </si>
  <si>
    <t>Sí</t>
  </si>
  <si>
    <t>Depósito o Galera Industrial</t>
  </si>
  <si>
    <t>Exento</t>
  </si>
  <si>
    <t>Discoteca (esparcimiento)</t>
  </si>
  <si>
    <t>Edificio sin Aire Acondicionado</t>
  </si>
  <si>
    <t>Edificio de Oficinas (actividades varias)</t>
  </si>
  <si>
    <t>Oficinas del sector privado</t>
  </si>
  <si>
    <t>Edificio Residencial (de Apartamentos)</t>
  </si>
  <si>
    <t>Escuela, Instituto, colegio (primaria, secundaria, vocacional)</t>
  </si>
  <si>
    <t>escuelas</t>
  </si>
  <si>
    <t>Camino seleccionado</t>
  </si>
  <si>
    <t>Estación de venta de combustibles</t>
  </si>
  <si>
    <t>Estadios Deportivos</t>
  </si>
  <si>
    <t>Expendio de Comidas y Bebidas -Restaurante</t>
  </si>
  <si>
    <t>Fábrica</t>
  </si>
  <si>
    <t>N-mes</t>
  </si>
  <si>
    <t>max_dmes</t>
  </si>
  <si>
    <t>Farmacia</t>
  </si>
  <si>
    <t xml:space="preserve">farmacias </t>
  </si>
  <si>
    <t>Estan todos los valores?</t>
  </si>
  <si>
    <t>Ferretería</t>
  </si>
  <si>
    <t>Nota 1</t>
  </si>
  <si>
    <t>rango_pcnt</t>
  </si>
  <si>
    <t>Floristería</t>
  </si>
  <si>
    <t>Funeraria o Velatorio</t>
  </si>
  <si>
    <t>Guardería</t>
  </si>
  <si>
    <t>EXENTO</t>
  </si>
  <si>
    <t>Heladería y Refresquería</t>
  </si>
  <si>
    <t>Hospital o Clínica Hospital</t>
  </si>
  <si>
    <t>hospitales privados</t>
  </si>
  <si>
    <t>Hotel o Motel</t>
  </si>
  <si>
    <t>Iglesia u otro Centro Religioso</t>
  </si>
  <si>
    <t>Industrial: Aserrío o Aserradero</t>
  </si>
  <si>
    <t>Instituto, colegio, centro educativo</t>
  </si>
  <si>
    <t>Joyería y Relojería</t>
  </si>
  <si>
    <t>Kiosco en General</t>
  </si>
  <si>
    <t>Laboratorio o Clínica</t>
  </si>
  <si>
    <t>clínicas</t>
  </si>
  <si>
    <t>&lt;&lt;calc no. serie</t>
  </si>
  <si>
    <t>Lavandería y/o Tintorería</t>
  </si>
  <si>
    <t>años desde 2018</t>
  </si>
  <si>
    <t>Librería o Biblioteca</t>
  </si>
  <si>
    <t>Terciaro Tipo 1</t>
  </si>
  <si>
    <t xml:space="preserve">bibliotecas </t>
  </si>
  <si>
    <t>2,3,4</t>
  </si>
  <si>
    <t>dias desde 1 dic 19</t>
  </si>
  <si>
    <t>Local dentro de centro comercial (Barbería, Peluquería, almacen, …)</t>
  </si>
  <si>
    <t>No es un edificio</t>
  </si>
  <si>
    <t>5,6</t>
  </si>
  <si>
    <t>años desde 1950</t>
  </si>
  <si>
    <t>Mueblería</t>
  </si>
  <si>
    <t>7,8,9</t>
  </si>
  <si>
    <t>Seq.Id.de.idoneidad</t>
  </si>
  <si>
    <t>Oficinas, Edificio de Oficinas (actividades varias)</t>
  </si>
  <si>
    <t>10,11</t>
  </si>
  <si>
    <t>Random</t>
  </si>
  <si>
    <t>PH Residencial, Edificio Residencial</t>
  </si>
  <si>
    <t>Procesadora de alimentos</t>
  </si>
  <si>
    <t>Restaurante, Café u Otro Establecimiento de expendio de Comidas y Bebidas</t>
  </si>
  <si>
    <t xml:space="preserve"> Tipo 1 </t>
  </si>
  <si>
    <t>restaurantes</t>
  </si>
  <si>
    <t>Salón de Baile o Sitio de Recreación</t>
  </si>
  <si>
    <t>Sedería</t>
  </si>
  <si>
    <t>Storage acondicionado, galera comercial, depósito</t>
  </si>
  <si>
    <t>Supermercado</t>
  </si>
  <si>
    <t>Taller Comercial y de Reparación de Autos</t>
  </si>
  <si>
    <t>Taller de Artesanía</t>
  </si>
  <si>
    <t>Taller de Baúles, Maletas y Bolsas</t>
  </si>
  <si>
    <t>Taller de Imprenta, Editoriales e Industrias Conexas</t>
  </si>
  <si>
    <t>Televisoras</t>
  </si>
  <si>
    <t>Universidad u otro Centro de Educación Superior</t>
  </si>
  <si>
    <t>centros educativos</t>
  </si>
  <si>
    <t>Venta de Calzados</t>
  </si>
  <si>
    <t>Venta de Productos e Insumos Agrícolas</t>
  </si>
  <si>
    <t>Venta, Edificio propia</t>
  </si>
  <si>
    <t>Ventas de Autos y Accesorios</t>
  </si>
  <si>
    <t xml:space="preserve">Ventas de Licor </t>
  </si>
  <si>
    <t>Ventas de Madera Aserrados</t>
  </si>
  <si>
    <t>Ventas Materiales de Construcción</t>
  </si>
  <si>
    <t>Nota 2</t>
  </si>
  <si>
    <t>Nota 1: Todas las edificaciones que sus funciones se desarrollen en horario consistente y que generalmente tenga periodos de baja ocupación.</t>
  </si>
  <si>
    <t>(adimensional)</t>
  </si>
  <si>
    <t>Factor de Proyección Sombra Sur</t>
  </si>
  <si>
    <t>Factor de Proyección Sombra Sur y Oeste</t>
  </si>
  <si>
    <t>Valor U pared calculado</t>
  </si>
  <si>
    <t>Factor de Proyección</t>
  </si>
  <si>
    <t>Auxiliar</t>
  </si>
  <si>
    <t>Clasificación en MS</t>
  </si>
  <si>
    <t>Resultado:</t>
  </si>
  <si>
    <t xml:space="preserve">Evaluación de acuerdo a </t>
  </si>
  <si>
    <t>Variante:</t>
  </si>
  <si>
    <t>Variantes</t>
  </si>
  <si>
    <t>T2</t>
  </si>
  <si>
    <t>Calculado</t>
  </si>
  <si>
    <t>R1</t>
  </si>
  <si>
    <t>R2</t>
  </si>
  <si>
    <t>R3</t>
  </si>
  <si>
    <t>R4</t>
  </si>
  <si>
    <t>R5</t>
  </si>
  <si>
    <t>E1</t>
  </si>
  <si>
    <t>M1</t>
  </si>
  <si>
    <t>O2</t>
  </si>
  <si>
    <t>O3</t>
  </si>
  <si>
    <t>O4</t>
  </si>
  <si>
    <t>O5</t>
  </si>
  <si>
    <t>O1</t>
  </si>
  <si>
    <t>T11</t>
  </si>
  <si>
    <t>T12</t>
  </si>
  <si>
    <t>T13</t>
  </si>
  <si>
    <t>T14</t>
  </si>
  <si>
    <t>T15</t>
  </si>
  <si>
    <t>T21</t>
  </si>
  <si>
    <t>T22</t>
  </si>
  <si>
    <t>T23</t>
  </si>
  <si>
    <t>c_ini</t>
  </si>
  <si>
    <t>Variante</t>
  </si>
  <si>
    <t>tabla</t>
  </si>
  <si>
    <t>t_exe</t>
  </si>
  <si>
    <t>t_sAA</t>
  </si>
  <si>
    <t>t_ofi</t>
  </si>
  <si>
    <t>t_res</t>
  </si>
  <si>
    <t>t_mod</t>
  </si>
  <si>
    <t>t_t1</t>
  </si>
  <si>
    <t>t_t2</t>
  </si>
  <si>
    <t>E1A</t>
  </si>
  <si>
    <t>COP de Peor Equipo</t>
  </si>
  <si>
    <t>Nombre de Equipo</t>
  </si>
  <si>
    <t>Adimensional</t>
  </si>
  <si>
    <t>Seleccione la unidad de eficiencia</t>
  </si>
  <si>
    <t>COP / REE</t>
  </si>
  <si>
    <t>REE</t>
  </si>
  <si>
    <t>Seleccione una</t>
  </si>
  <si>
    <t>Valor</t>
  </si>
  <si>
    <t>COP Equiv</t>
  </si>
  <si>
    <t>vmUp</t>
  </si>
  <si>
    <t>vmUv</t>
  </si>
  <si>
    <t>vmGv</t>
  </si>
  <si>
    <t>vmSs</t>
  </si>
  <si>
    <t>vmSO</t>
  </si>
  <si>
    <t>vmVP</t>
  </si>
  <si>
    <t>vmUt</t>
  </si>
  <si>
    <t>vmC</t>
  </si>
  <si>
    <t>Peor</t>
  </si>
  <si>
    <t>tf_exe</t>
  </si>
  <si>
    <t>tf_sAA</t>
  </si>
  <si>
    <t>tf_mod</t>
  </si>
  <si>
    <t>tf_ofi</t>
  </si>
  <si>
    <t>tf_res</t>
  </si>
  <si>
    <t>tf_t1</t>
  </si>
  <si>
    <t>tf_t2</t>
  </si>
  <si>
    <r>
      <rPr>
        <b/>
        <sz val="10"/>
        <color theme="1"/>
        <rFont val="Arial"/>
        <family val="2"/>
        <scheme val="minor"/>
      </rPr>
      <t xml:space="preserve">Valor U </t>
    </r>
    <r>
      <rPr>
        <sz val="10"/>
        <color theme="1"/>
        <rFont val="Arial"/>
        <family val="2"/>
        <scheme val="minor"/>
      </rPr>
      <t xml:space="preserve">de pared </t>
    </r>
  </si>
  <si>
    <r>
      <rPr>
        <b/>
        <sz val="10"/>
        <color theme="1"/>
        <rFont val="Arial"/>
        <family val="2"/>
        <scheme val="minor"/>
      </rPr>
      <t xml:space="preserve">Valor U </t>
    </r>
    <r>
      <rPr>
        <sz val="10"/>
        <color theme="1"/>
        <rFont val="Arial"/>
        <family val="2"/>
        <scheme val="minor"/>
      </rPr>
      <t>de ventana</t>
    </r>
  </si>
  <si>
    <r>
      <rPr>
        <b/>
        <sz val="10"/>
        <color theme="1"/>
        <rFont val="Arial"/>
        <family val="2"/>
        <scheme val="minor"/>
      </rPr>
      <t>Valor g</t>
    </r>
    <r>
      <rPr>
        <sz val="10"/>
        <color theme="1"/>
        <rFont val="Arial"/>
        <family val="2"/>
        <scheme val="minor"/>
      </rPr>
      <t xml:space="preserve"> de ventana</t>
    </r>
  </si>
  <si>
    <r>
      <rPr>
        <b/>
        <sz val="10"/>
        <color theme="1"/>
        <rFont val="Arial"/>
        <family val="2"/>
        <scheme val="minor"/>
      </rPr>
      <t xml:space="preserve">Sombra </t>
    </r>
    <r>
      <rPr>
        <sz val="10"/>
        <color theme="1"/>
        <rFont val="Arial"/>
        <family val="2"/>
        <scheme val="minor"/>
      </rPr>
      <t>ventana Sur</t>
    </r>
  </si>
  <si>
    <r>
      <rPr>
        <b/>
        <sz val="10"/>
        <color theme="1"/>
        <rFont val="Arial"/>
        <family val="2"/>
        <scheme val="minor"/>
      </rPr>
      <t xml:space="preserve">Sombra </t>
    </r>
    <r>
      <rPr>
        <sz val="10"/>
        <color theme="1"/>
        <rFont val="Arial"/>
        <family val="2"/>
        <scheme val="minor"/>
      </rPr>
      <t>ventana Oeste</t>
    </r>
  </si>
  <si>
    <r>
      <rPr>
        <b/>
        <sz val="10"/>
        <color theme="1"/>
        <rFont val="Arial"/>
        <family val="2"/>
        <scheme val="minor"/>
      </rPr>
      <t xml:space="preserve">Relación </t>
    </r>
    <r>
      <rPr>
        <sz val="10"/>
        <color theme="1"/>
        <rFont val="Arial"/>
        <family val="2"/>
        <scheme val="minor"/>
      </rPr>
      <t>pared-ventana</t>
    </r>
  </si>
  <si>
    <r>
      <rPr>
        <b/>
        <sz val="10"/>
        <color theme="1"/>
        <rFont val="Arial"/>
        <family val="2"/>
        <scheme val="minor"/>
      </rPr>
      <t xml:space="preserve">Valor U </t>
    </r>
    <r>
      <rPr>
        <sz val="10"/>
        <color theme="1"/>
        <rFont val="Arial"/>
        <family val="2"/>
        <scheme val="minor"/>
      </rPr>
      <t>de techo</t>
    </r>
  </si>
  <si>
    <t>Test1</t>
  </si>
  <si>
    <t>n_var</t>
  </si>
  <si>
    <t>list5</t>
  </si>
  <si>
    <t>list3</t>
  </si>
  <si>
    <r>
      <rPr>
        <b/>
        <sz val="12"/>
        <color theme="1"/>
        <rFont val="Arial"/>
        <family val="2"/>
        <scheme val="minor"/>
      </rPr>
      <t>Paso 5</t>
    </r>
    <r>
      <rPr>
        <sz val="12"/>
        <color theme="1"/>
        <rFont val="Arial"/>
        <family val="2"/>
        <scheme val="minor"/>
      </rPr>
      <t xml:space="preserve">. Anexar los certificados y/o fichas técnicas con valores U o lambda al archivo *.pdf. </t>
    </r>
  </si>
  <si>
    <t>No borrar</t>
  </si>
  <si>
    <t>t_blank</t>
  </si>
  <si>
    <t xml:space="preserve"> </t>
  </si>
  <si>
    <t>tf_blank</t>
  </si>
  <si>
    <r>
      <rPr>
        <b/>
        <sz val="11"/>
        <color theme="1"/>
        <rFont val="Arial"/>
        <family val="2"/>
        <scheme val="minor"/>
      </rPr>
      <t xml:space="preserve">Relación </t>
    </r>
    <r>
      <rPr>
        <sz val="11"/>
        <color theme="1"/>
        <rFont val="Arial"/>
        <family val="2"/>
        <scheme val="minor"/>
      </rPr>
      <t xml:space="preserve">ventana-pared </t>
    </r>
    <r>
      <rPr>
        <sz val="8"/>
        <color theme="1"/>
        <rFont val="Arial (Cuerpo)"/>
      </rPr>
      <t>(%)</t>
    </r>
  </si>
  <si>
    <t>list1</t>
  </si>
  <si>
    <r>
      <rPr>
        <b/>
        <sz val="12"/>
        <color theme="1"/>
        <rFont val="Arial"/>
        <family val="2"/>
        <scheme val="minor"/>
      </rPr>
      <t>Paso 1.</t>
    </r>
    <r>
      <rPr>
        <sz val="12"/>
        <color theme="1"/>
        <rFont val="Arial"/>
        <family val="2"/>
        <scheme val="minor"/>
      </rPr>
      <t>Comienze llenando la</t>
    </r>
  </si>
  <si>
    <t xml:space="preserve"> Seleccione el camino de cumplimiento.</t>
  </si>
  <si>
    <r>
      <rPr>
        <b/>
        <sz val="12"/>
        <color theme="1"/>
        <rFont val="Arial"/>
        <family val="2"/>
        <scheme val="minor"/>
      </rPr>
      <t>Paso 2.</t>
    </r>
    <r>
      <rPr>
        <sz val="12"/>
        <color theme="1"/>
        <rFont val="Arial"/>
        <family val="2"/>
        <scheme val="minor"/>
      </rPr>
      <t xml:space="preserve"> Complete las pestañas de paredes, ventanas, techos, %Ventana-Pared o sombras y AA</t>
    </r>
  </si>
  <si>
    <t>con las imágenes de los detalles  arquitectónicos, valores por defecto, especificaciones y/o cálculos.</t>
  </si>
  <si>
    <t xml:space="preserve">Verifique que los datos pasan a la pestaña </t>
  </si>
  <si>
    <t>Evaluación</t>
  </si>
  <si>
    <t>.</t>
  </si>
  <si>
    <r>
      <rPr>
        <b/>
        <sz val="12"/>
        <color theme="1"/>
        <rFont val="Arial"/>
        <family val="2"/>
        <scheme val="minor"/>
      </rPr>
      <t>Paso 3.</t>
    </r>
    <r>
      <rPr>
        <sz val="12"/>
        <color theme="1"/>
        <rFont val="Arial"/>
        <family val="2"/>
        <scheme val="minor"/>
      </rPr>
      <t xml:space="preserve"> Completar  los datos de "valor reportado" y "origen de los valores" en la hoja </t>
    </r>
  </si>
  <si>
    <r>
      <rPr>
        <b/>
        <sz val="12"/>
        <color theme="1"/>
        <rFont val="Arial"/>
        <family val="2"/>
        <scheme val="minor"/>
      </rPr>
      <t>Paso 4.</t>
    </r>
    <r>
      <rPr>
        <sz val="12"/>
        <color theme="1"/>
        <rFont val="Arial"/>
        <family val="2"/>
        <scheme val="minor"/>
      </rPr>
      <t xml:space="preserve"> Seleccionar las hojas: InformaciónProyecto, Evaluación# y las hojas con cálculos de porciones  y mandar a imprimir como archivo *.pdf.</t>
    </r>
  </si>
  <si>
    <r>
      <rPr>
        <b/>
        <sz val="12"/>
        <color theme="1"/>
        <rFont val="Arial"/>
        <family val="2"/>
        <scheme val="minor"/>
      </rPr>
      <t>Paso 6</t>
    </r>
    <r>
      <rPr>
        <sz val="12"/>
        <color theme="1"/>
        <rFont val="Arial"/>
        <family val="2"/>
        <scheme val="minor"/>
      </rPr>
      <t>. Enviar a las autoridades con jurisdicción según el Reglamento de Edificación Sostenible.</t>
    </r>
  </si>
  <si>
    <t>Cuando el valor meta no aparece, se cumple automáticamente al llenar las hojas con detalles.</t>
  </si>
  <si>
    <t xml:space="preserve">establecidos en la Resoluciones Nº 3142 y Nº 3980 de la Secretaría Nacional de Energía (GO 28165) </t>
  </si>
  <si>
    <t>y la Resolución de la JTIA Nº  035 de 26 de junio 2019 que aprueba el Reglamento de Edificación Sostenible.</t>
  </si>
  <si>
    <t>Y:</t>
  </si>
  <si>
    <t>X:</t>
  </si>
  <si>
    <t>Zona y Cuadrante</t>
  </si>
  <si>
    <t>Coordenadas (UTM WGS84 PMA)</t>
  </si>
  <si>
    <t>Se cumple el RES cuando el valor calculado/verificado es igual o mejor que el valor meta.</t>
  </si>
  <si>
    <t>MS Oficina</t>
  </si>
  <si>
    <t>MS Residencial</t>
  </si>
  <si>
    <t>MS Terciario Tipo 1</t>
  </si>
  <si>
    <t>MS Terciario Tipo 2</t>
  </si>
  <si>
    <t>Informe de Desempeño Energético (IDE)</t>
  </si>
  <si>
    <t>Memoria Técnica</t>
  </si>
  <si>
    <t>2. CÁLCULO DE PORCIONES: PAREDES</t>
  </si>
  <si>
    <t xml:space="preserve">3. EVALUACIÓN DEL PROYECTO </t>
  </si>
  <si>
    <t>2. CÁLCULO DE PORCIONES: Equipo AA</t>
  </si>
  <si>
    <t>2. CÁLCULO DE PORCIONES: TECHOS</t>
  </si>
  <si>
    <t>2. CÁLCULO DE PORCIONES: VENTANAS</t>
  </si>
  <si>
    <t>2. CÁLCULO DE PORCIONES: % VENTANA - PARED</t>
  </si>
  <si>
    <t>2. CÁLCULO DE PORCIONES: % VENTANA - PARED 2</t>
  </si>
  <si>
    <r>
      <rPr>
        <b/>
        <sz val="18"/>
        <color theme="1"/>
        <rFont val="Calibri"/>
        <family val="2"/>
      </rPr>
      <t xml:space="preserve">Valores λ </t>
    </r>
    <r>
      <rPr>
        <b/>
        <sz val="14"/>
        <color theme="1"/>
        <rFont val="Arial"/>
        <family val="2"/>
        <scheme val="minor"/>
      </rPr>
      <t>Conductividad térmica [W/(mK)]</t>
    </r>
  </si>
  <si>
    <t>Valor por defecto</t>
  </si>
  <si>
    <t>Menor desempeño</t>
  </si>
  <si>
    <t>Mayor desempeño</t>
  </si>
  <si>
    <t xml:space="preserve">Aislamientos </t>
  </si>
  <si>
    <t>ARCILLAS</t>
  </si>
  <si>
    <t>Fuente: PRODUCTOS MARIBEL PANAMA</t>
  </si>
  <si>
    <t>CONCRETO CELULAR</t>
  </si>
  <si>
    <t>Fuente: SNE</t>
  </si>
  <si>
    <t>ESTUCOS (RECUBRIMIENTOS)</t>
  </si>
  <si>
    <t>FIBRA DE VIDRIO</t>
  </si>
  <si>
    <t>FIBRA MINERAL</t>
  </si>
  <si>
    <t>POLIESTIRENO EXPANDIDO (EPS)</t>
  </si>
  <si>
    <t>POLIESTIRENO EXTRUIDO (XPS)</t>
  </si>
  <si>
    <t>POLIURETANO (PUR)</t>
  </si>
  <si>
    <t>Recubrimientos</t>
  </si>
  <si>
    <t>Ficha técnica PLYCEM</t>
  </si>
  <si>
    <t>Placa fibro-cemento</t>
  </si>
  <si>
    <t>James Hardie, ASTM C 518</t>
  </si>
  <si>
    <t>Azulejo</t>
  </si>
  <si>
    <t>CTE Código Técnico de la Edificación. Ministerio de Vivienda, España.</t>
  </si>
  <si>
    <t>Baldosa cerámica</t>
  </si>
  <si>
    <t>Baldosa de gres</t>
  </si>
  <si>
    <t>*   Mortero de cemento para repello</t>
  </si>
  <si>
    <t>*   Mortero de cal para repello exterior</t>
  </si>
  <si>
    <t>*   Mortero de cal para repello interior</t>
  </si>
  <si>
    <t>*   Yeso</t>
  </si>
  <si>
    <t>Metales</t>
  </si>
  <si>
    <t>*   Aluminio</t>
  </si>
  <si>
    <t>*   Cobre</t>
  </si>
  <si>
    <t>*   Acero y fierro</t>
  </si>
  <si>
    <t>Madera (humedad 12%)</t>
  </si>
  <si>
    <t>*   Pino</t>
  </si>
  <si>
    <t>*   Cedro</t>
  </si>
  <si>
    <t>*   Roble</t>
  </si>
  <si>
    <t>*   Fresno</t>
  </si>
  <si>
    <t>Otros Materiales</t>
  </si>
  <si>
    <t>PVC</t>
  </si>
  <si>
    <t>Tejas de arcilla cocida</t>
  </si>
  <si>
    <t>Fieltro</t>
  </si>
  <si>
    <t>Tejalit (fibro cemento)</t>
  </si>
  <si>
    <t>Paredes</t>
  </si>
  <si>
    <t>Ladrillo arcilla recocido común</t>
  </si>
  <si>
    <t>* De 4 plgdas espesor (8.8 cm)</t>
  </si>
  <si>
    <t>Fuente: Productos Maribel</t>
  </si>
  <si>
    <t>* De 6 plgdas espesor</t>
  </si>
  <si>
    <t>* De 8 plgdas espesor</t>
  </si>
  <si>
    <t>Bloque de 3 huecos con recubrimiento impermeable por fuera</t>
  </si>
  <si>
    <t>*   densidad 2165 Kg/m3</t>
  </si>
  <si>
    <t>Fuente: National Concrete Masonry Institute</t>
  </si>
  <si>
    <t>*   densidad 2000 Kg/m3</t>
  </si>
  <si>
    <t>*   densidad 1684 Kg/m3</t>
  </si>
  <si>
    <t>Bloque de concreto de 2 o 3 huecos (sin detalle)</t>
  </si>
  <si>
    <t>Fuente: SNE / Consultores</t>
  </si>
  <si>
    <t xml:space="preserve">Concreto </t>
  </si>
  <si>
    <t>*   armado 1400 Kg/m3</t>
  </si>
  <si>
    <t>Fuente: American Concrete Institute</t>
  </si>
  <si>
    <t>*   armado 2000Kg/m3</t>
  </si>
  <si>
    <t>*   armado 2500 Kg/m3</t>
  </si>
  <si>
    <t>*   armado (sin detalle)</t>
  </si>
  <si>
    <t>A falta de certificados del fabricante o importador, se autoriza el uso de los valores en esta página.</t>
  </si>
  <si>
    <r>
      <rPr>
        <b/>
        <sz val="18"/>
        <color rgb="FF0070C0"/>
        <rFont val="Calibri"/>
        <family val="2"/>
      </rPr>
      <t xml:space="preserve">λ </t>
    </r>
    <r>
      <rPr>
        <b/>
        <sz val="14"/>
        <color rgb="FF0070C0"/>
        <rFont val="Arial"/>
        <family val="2"/>
        <scheme val="minor"/>
      </rPr>
      <t>[W/(mK)]</t>
    </r>
  </si>
  <si>
    <t>Acristalamiento sencillo 6mm</t>
  </si>
  <si>
    <t>Acristalamiento sencillo 6mm tintado gris (Solar Grey)</t>
  </si>
  <si>
    <t>Acristalamiento sencillo 6mm tintado bronce (Solar Bronze)</t>
  </si>
  <si>
    <t>Acristalamiento sencillo 6mm tintado verde azul (Blue-Green)</t>
  </si>
  <si>
    <t>Acristalamiento sencillo 6mm tintado verde baja e (Evergreen low-e)</t>
  </si>
  <si>
    <t>Acristalamiento sencillo 6mm tintado verde (Evergreen)</t>
  </si>
  <si>
    <t>Acristalamiento sencillo 6mm claro baja emisividad</t>
  </si>
  <si>
    <t>Acristalamiento sencillo 6mm tintado gris baja e (Solar Grey low-e)</t>
  </si>
  <si>
    <t>Doble acristalamiento 4mm/12mm aire/4mm (claro aire claro))</t>
  </si>
  <si>
    <t>Doble acristalamiento 6mm/12mm aire/6mm (claro aire claro))</t>
  </si>
  <si>
    <t>Doble acristalamiento 6mm/12mm aire/6mm (Solar Grey ext aire claro)</t>
  </si>
  <si>
    <t>Doble acristalamiento 4mm/16mm aire/4mm  (claro aire claro))</t>
  </si>
  <si>
    <t>Fuente: Pilkington, Guardian</t>
  </si>
  <si>
    <t>y CTL Código Técnico de la Edificación. Ministerio de Vivienda, España.</t>
  </si>
  <si>
    <t>Marcos de ventana</t>
  </si>
  <si>
    <t>Metálico</t>
  </si>
  <si>
    <t>Metálico RPT (4mm&lt;=d&lt;=12 mm)</t>
  </si>
  <si>
    <t>Madera dura  (ρ = 700 kg/m3 y 60 mm de espesor)</t>
  </si>
  <si>
    <t>Madera blanda (ρ = 500 kg/m3 y 60 mm de espesor)</t>
  </si>
  <si>
    <t>Perfiles huecos de PVC (2 cámaras)</t>
  </si>
  <si>
    <t>Perfiles huecos de PVC (3 cámaras)</t>
  </si>
  <si>
    <t>Marco altamente aislado; calidad térmica media</t>
  </si>
  <si>
    <t>Marco altamente aislado; buena calidad térmica</t>
  </si>
  <si>
    <t>RPT=Rotura de Puente Térmico (Thermal Break)</t>
  </si>
  <si>
    <t>Vidrio - Acristalamiento</t>
  </si>
  <si>
    <t>Casa (unifamiliar, duplex, cualquier tipo)</t>
  </si>
  <si>
    <t>17P</t>
  </si>
  <si>
    <t>18P</t>
  </si>
  <si>
    <t>17N</t>
  </si>
  <si>
    <t>18N</t>
  </si>
  <si>
    <r>
      <rPr>
        <b/>
        <sz val="13"/>
        <color theme="1"/>
        <rFont val="Arial"/>
        <family val="2"/>
        <scheme val="minor"/>
      </rPr>
      <t>2. CÁLCULO DE PORCIONES:</t>
    </r>
    <r>
      <rPr>
        <b/>
        <sz val="14"/>
        <color theme="1"/>
        <rFont val="Arial"/>
        <family val="2"/>
        <scheme val="minor"/>
      </rPr>
      <t xml:space="preserve"> </t>
    </r>
    <r>
      <rPr>
        <b/>
        <sz val="11"/>
        <color theme="1"/>
        <rFont val="Arial"/>
        <family val="2"/>
        <scheme val="minor"/>
      </rPr>
      <t>SOMBRA SUR O SUR Y OESTE</t>
    </r>
  </si>
  <si>
    <t>Software propiedad del Gobierno de Panamá. Se reconoce el apoyo del Banco Mundial y sus consultores. Programación de la versión final: Julio Rovi Sánchez. Para mejoras o preguntas, escríbanos a resv1@energia.gob.pa.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</si>
</sst>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0.0%"/>
    <numFmt numFmtId="168" formatCode="00000000"/>
    <numFmt numFmtId="169" formatCode="00"/>
    <numFmt numFmtId="170" formatCode="000000000000000"/>
    <numFmt numFmtId="171" formatCode="0000\-000\-000"/>
    <numFmt numFmtId="172" formatCode="0.000000000E+00"/>
    <numFmt numFmtId="173" formatCode="000"/>
    <numFmt numFmtId="174" formatCode="0\ 000"/>
    <numFmt numFmtId="175" formatCode="00\ 000"/>
    <numFmt numFmtId="176" formatCode="[$-409]m/d/yy\ h:mm\ AM/PM;@"/>
    <numFmt numFmtId="177" formatCode="_(* #,##0.0_);_(* \(#,##0.0\);_(* &quot;-&quot;??_);_(@_)"/>
    <numFmt numFmtId="178" formatCode="0.000000"/>
    <numFmt numFmtId="179" formatCode="0.0000000"/>
  </numFmts>
  <fonts count="90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vertAlign val="superscript"/>
      <sz val="10"/>
      <color theme="1"/>
      <name val="Arial (Cuerpo)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0" tint="-0.499984740745262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indexed="81"/>
      <name val="Calibri"/>
      <family val="2"/>
    </font>
    <font>
      <sz val="12"/>
      <color theme="0" tint="-0.499984740745262"/>
      <name val="Arial"/>
      <family val="2"/>
      <scheme val="minor"/>
    </font>
    <font>
      <sz val="9"/>
      <color theme="1"/>
      <name val="Arial"/>
      <family val="2"/>
      <scheme val="minor"/>
    </font>
    <font>
      <sz val="12"/>
      <name val="Arial"/>
      <family val="2"/>
      <scheme val="minor"/>
    </font>
    <font>
      <sz val="8"/>
      <color theme="1"/>
      <name val="Arial (Cuerpo)"/>
    </font>
    <font>
      <sz val="12"/>
      <color rgb="FF000000"/>
      <name val="Arial"/>
      <family val="2"/>
      <scheme val="minor"/>
    </font>
    <font>
      <b/>
      <sz val="9"/>
      <color rgb="FFC00000"/>
      <name val="Arial"/>
      <family val="2"/>
      <scheme val="minor"/>
    </font>
    <font>
      <b/>
      <sz val="9"/>
      <color rgb="FF407DD6"/>
      <name val="Arial"/>
      <family val="2"/>
      <scheme val="minor"/>
    </font>
    <font>
      <sz val="11"/>
      <color rgb="FF1C1C1C"/>
      <name val="Arial"/>
      <family val="2"/>
      <scheme val="minor"/>
    </font>
    <font>
      <sz val="10"/>
      <color rgb="FF1C1C1C"/>
      <name val="Arial"/>
      <family val="2"/>
      <scheme val="minor"/>
    </font>
    <font>
      <sz val="11.5"/>
      <color theme="1"/>
      <name val="Arial"/>
      <family val="2"/>
      <scheme val="minor"/>
    </font>
    <font>
      <sz val="11.5"/>
      <color theme="4"/>
      <name val="Arial"/>
      <family val="2"/>
      <scheme val="minor"/>
    </font>
    <font>
      <sz val="11.5"/>
      <color theme="0"/>
      <name val="Arial"/>
      <family val="2"/>
      <scheme val="minor"/>
    </font>
    <font>
      <sz val="11.5"/>
      <name val="Arial"/>
      <family val="2"/>
      <scheme val="minor"/>
    </font>
    <font>
      <sz val="14"/>
      <color rgb="FFC00000"/>
      <name val="Arial"/>
      <family val="2"/>
      <scheme val="minor"/>
    </font>
    <font>
      <sz val="11.5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.5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color rgb="FFFFFFFF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8"/>
      <color rgb="FF000000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</font>
    <font>
      <sz val="1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8"/>
      <color theme="0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sz val="9"/>
      <color rgb="FFFF0000"/>
      <name val="Arial"/>
      <family val="2"/>
      <scheme val="minor"/>
    </font>
    <font>
      <sz val="8"/>
      <color theme="0" tint="-0.499984740745262"/>
      <name val="Arial"/>
      <family val="2"/>
      <scheme val="minor"/>
    </font>
    <font>
      <b/>
      <sz val="18"/>
      <color theme="1"/>
      <name val="Calibri"/>
      <family val="2"/>
    </font>
    <font>
      <b/>
      <sz val="16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2"/>
      <color rgb="FF0070C0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4"/>
      <color rgb="FF0070C0"/>
      <name val="Arial"/>
      <family val="2"/>
      <scheme val="minor"/>
    </font>
    <font>
      <b/>
      <sz val="18"/>
      <color rgb="FF0070C0"/>
      <name val="Calibri"/>
      <family val="2"/>
    </font>
    <font>
      <sz val="11"/>
      <color rgb="FF0070C0"/>
      <name val="Arial"/>
      <family val="2"/>
      <scheme val="minor"/>
    </font>
    <font>
      <b/>
      <sz val="12"/>
      <color rgb="FF0070C0"/>
      <name val="Arial"/>
      <family val="2"/>
      <scheme val="minor"/>
    </font>
    <font>
      <b/>
      <sz val="13"/>
      <color theme="1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A7FE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/>
      <top/>
      <bottom style="thick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ck">
        <color rgb="FFA8D200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 tint="0.34998626667073579"/>
      </bottom>
      <diagonal/>
    </border>
    <border>
      <left/>
      <right/>
      <top style="thin">
        <color theme="0" tint="-0.249977111117893"/>
      </top>
      <bottom style="thin">
        <color theme="1" tint="0.34998626667073579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249977111117893"/>
      </left>
      <right/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rgb="FF0070C0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/>
      <top/>
      <bottom/>
      <diagonal/>
    </border>
    <border>
      <left/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568">
    <xf numFmtId="0" fontId="0" fillId="0" borderId="0" xfId="0"/>
    <xf numFmtId="0" fontId="14" fillId="0" borderId="0" xfId="0" applyFont="1"/>
    <xf numFmtId="0" fontId="16" fillId="0" borderId="0" xfId="0" applyFont="1"/>
    <xf numFmtId="0" fontId="17" fillId="0" borderId="0" xfId="0" applyFont="1"/>
    <xf numFmtId="0" fontId="0" fillId="0" borderId="2" xfId="0" applyBorder="1"/>
    <xf numFmtId="0" fontId="18" fillId="0" borderId="15" xfId="0" applyFont="1" applyBorder="1"/>
    <xf numFmtId="0" fontId="19" fillId="0" borderId="15" xfId="0" applyFont="1" applyBorder="1"/>
    <xf numFmtId="0" fontId="0" fillId="0" borderId="15" xfId="0" applyBorder="1"/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vertical="top"/>
    </xf>
    <xf numFmtId="164" fontId="23" fillId="0" borderId="0" xfId="0" applyNumberFormat="1" applyFont="1"/>
    <xf numFmtId="164" fontId="14" fillId="0" borderId="0" xfId="0" applyNumberFormat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2" fontId="18" fillId="0" borderId="0" xfId="0" applyNumberFormat="1" applyFont="1" applyAlignment="1">
      <alignment vertical="center"/>
    </xf>
    <xf numFmtId="0" fontId="14" fillId="0" borderId="0" xfId="0" applyFont="1" applyAlignment="1">
      <alignment wrapText="1"/>
    </xf>
    <xf numFmtId="0" fontId="30" fillId="0" borderId="0" xfId="0" applyFont="1"/>
    <xf numFmtId="0" fontId="25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0" fillId="2" borderId="4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9" fontId="0" fillId="2" borderId="4" xfId="1" applyFont="1" applyFill="1" applyBorder="1" applyProtection="1">
      <protection locked="0"/>
    </xf>
    <xf numFmtId="0" fontId="23" fillId="0" borderId="0" xfId="0" applyFont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2" fontId="18" fillId="4" borderId="1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left" wrapText="1"/>
    </xf>
    <xf numFmtId="0" fontId="0" fillId="0" borderId="0" xfId="0" applyAlignment="1" applyProtection="1">
      <alignment horizontal="center"/>
      <protection hidden="1"/>
    </xf>
    <xf numFmtId="0" fontId="0" fillId="0" borderId="11" xfId="0" applyBorder="1" applyAlignment="1">
      <alignment horizontal="left" wrapText="1"/>
    </xf>
    <xf numFmtId="0" fontId="0" fillId="0" borderId="11" xfId="0" applyBorder="1"/>
    <xf numFmtId="0" fontId="14" fillId="2" borderId="5" xfId="0" applyFont="1" applyFill="1" applyBorder="1" applyAlignment="1" applyProtection="1">
      <alignment horizontal="center" vertical="center"/>
      <protection locked="0"/>
    </xf>
    <xf numFmtId="0" fontId="31" fillId="0" borderId="0" xfId="0" applyFont="1"/>
    <xf numFmtId="0" fontId="0" fillId="0" borderId="0" xfId="0" applyProtection="1">
      <protection hidden="1"/>
    </xf>
    <xf numFmtId="0" fontId="14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vertical="top" wrapText="1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0" fillId="0" borderId="18" xfId="0" applyBorder="1"/>
    <xf numFmtId="0" fontId="23" fillId="0" borderId="6" xfId="0" applyFont="1" applyBorder="1" applyAlignment="1" applyProtection="1">
      <alignment horizontal="center" vertical="center"/>
      <protection hidden="1"/>
    </xf>
    <xf numFmtId="166" fontId="0" fillId="0" borderId="0" xfId="0" applyNumberForma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wrapText="1"/>
    </xf>
    <xf numFmtId="2" fontId="0" fillId="0" borderId="12" xfId="0" applyNumberForma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0" fillId="0" borderId="19" xfId="0" applyBorder="1"/>
    <xf numFmtId="0" fontId="0" fillId="0" borderId="0" xfId="0" applyAlignment="1">
      <alignment vertical="top"/>
    </xf>
    <xf numFmtId="0" fontId="0" fillId="0" borderId="20" xfId="0" applyBorder="1"/>
    <xf numFmtId="0" fontId="23" fillId="0" borderId="20" xfId="0" applyFont="1" applyBorder="1" applyAlignment="1">
      <alignment horizontal="left" vertical="top" wrapText="1"/>
    </xf>
    <xf numFmtId="166" fontId="0" fillId="0" borderId="20" xfId="0" applyNumberFormat="1" applyBorder="1"/>
    <xf numFmtId="2" fontId="0" fillId="0" borderId="20" xfId="0" applyNumberFormat="1" applyBorder="1" applyAlignment="1">
      <alignment horizontal="center"/>
    </xf>
    <xf numFmtId="9" fontId="18" fillId="4" borderId="1" xfId="1" applyFont="1" applyFill="1" applyBorder="1" applyAlignment="1">
      <alignment horizontal="center"/>
    </xf>
    <xf numFmtId="0" fontId="23" fillId="2" borderId="5" xfId="0" applyFont="1" applyFill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5" fillId="0" borderId="0" xfId="0" applyFont="1"/>
    <xf numFmtId="0" fontId="35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2" fontId="23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top"/>
      <protection hidden="1"/>
    </xf>
    <xf numFmtId="0" fontId="26" fillId="0" borderId="0" xfId="0" applyFont="1" applyAlignment="1" applyProtection="1">
      <alignment vertical="top"/>
      <protection hidden="1"/>
    </xf>
    <xf numFmtId="0" fontId="20" fillId="0" borderId="0" xfId="0" applyFont="1" applyAlignment="1" applyProtection="1">
      <alignment vertical="top"/>
      <protection hidden="1"/>
    </xf>
    <xf numFmtId="2" fontId="23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4" fillId="2" borderId="5" xfId="0" applyFont="1" applyFill="1" applyBorder="1" applyAlignment="1" applyProtection="1">
      <alignment horizontal="left" vertical="center"/>
      <protection hidden="1"/>
    </xf>
    <xf numFmtId="9" fontId="23" fillId="0" borderId="0" xfId="1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164" fontId="34" fillId="0" borderId="0" xfId="0" applyNumberFormat="1" applyFont="1" applyAlignment="1" applyProtection="1">
      <alignment horizontal="right"/>
      <protection hidden="1"/>
    </xf>
    <xf numFmtId="49" fontId="34" fillId="0" borderId="0" xfId="0" applyNumberFormat="1" applyFont="1" applyProtection="1">
      <protection hidden="1"/>
    </xf>
    <xf numFmtId="164" fontId="34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2" fontId="23" fillId="0" borderId="0" xfId="0" applyNumberFormat="1" applyFont="1" applyAlignment="1" applyProtection="1">
      <alignment horizontal="left" vertical="center"/>
      <protection hidden="1"/>
    </xf>
    <xf numFmtId="2" fontId="18" fillId="7" borderId="1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42" fillId="0" borderId="0" xfId="0" applyFont="1"/>
    <xf numFmtId="2" fontId="43" fillId="0" borderId="0" xfId="0" applyNumberFormat="1" applyFont="1" applyProtection="1">
      <protection hidden="1"/>
    </xf>
    <xf numFmtId="0" fontId="24" fillId="0" borderId="0" xfId="0" applyFont="1"/>
    <xf numFmtId="0" fontId="45" fillId="0" borderId="0" xfId="0" applyFont="1"/>
    <xf numFmtId="22" fontId="35" fillId="0" borderId="0" xfId="0" applyNumberFormat="1" applyFont="1"/>
    <xf numFmtId="0" fontId="12" fillId="0" borderId="0" xfId="0" applyFont="1" applyProtection="1">
      <protection hidden="1"/>
    </xf>
    <xf numFmtId="0" fontId="47" fillId="0" borderId="0" xfId="0" applyFont="1"/>
    <xf numFmtId="0" fontId="48" fillId="0" borderId="0" xfId="0" applyFont="1"/>
    <xf numFmtId="0" fontId="10" fillId="0" borderId="0" xfId="0" applyFont="1"/>
    <xf numFmtId="2" fontId="10" fillId="0" borderId="0" xfId="0" applyNumberFormat="1" applyFont="1" applyAlignment="1">
      <alignment horizontal="center" vertical="top"/>
    </xf>
    <xf numFmtId="2" fontId="10" fillId="0" borderId="0" xfId="0" applyNumberFormat="1" applyFont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10" fillId="0" borderId="0" xfId="0" applyFont="1" applyProtection="1"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169" fontId="35" fillId="0" borderId="0" xfId="0" applyNumberFormat="1" applyFont="1" applyProtection="1">
      <protection hidden="1"/>
    </xf>
    <xf numFmtId="22" fontId="35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0" fillId="0" borderId="36" xfId="0" applyNumberFormat="1" applyBorder="1" applyAlignment="1" applyProtection="1">
      <alignment horizontal="center" vertical="center"/>
      <protection hidden="1"/>
    </xf>
    <xf numFmtId="170" fontId="35" fillId="0" borderId="0" xfId="0" applyNumberFormat="1" applyFont="1" applyProtection="1">
      <protection hidden="1"/>
    </xf>
    <xf numFmtId="43" fontId="24" fillId="0" borderId="0" xfId="6" applyFont="1"/>
    <xf numFmtId="172" fontId="15" fillId="0" borderId="0" xfId="0" applyNumberFormat="1" applyFont="1"/>
    <xf numFmtId="0" fontId="59" fillId="0" borderId="0" xfId="0" quotePrefix="1" applyFont="1"/>
    <xf numFmtId="2" fontId="43" fillId="0" borderId="49" xfId="0" applyNumberFormat="1" applyFont="1" applyBorder="1" applyProtection="1">
      <protection hidden="1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5" borderId="0" xfId="0" applyFill="1"/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5" fillId="0" borderId="0" xfId="0" applyFont="1"/>
    <xf numFmtId="164" fontId="21" fillId="0" borderId="0" xfId="0" applyNumberFormat="1" applyFont="1"/>
    <xf numFmtId="2" fontId="76" fillId="0" borderId="0" xfId="0" applyNumberFormat="1" applyFont="1" applyAlignment="1" applyProtection="1">
      <alignment horizontal="center"/>
      <protection hidden="1"/>
    </xf>
    <xf numFmtId="165" fontId="0" fillId="0" borderId="0" xfId="0" applyNumberFormat="1"/>
    <xf numFmtId="0" fontId="16" fillId="2" borderId="4" xfId="0" applyFont="1" applyFill="1" applyBorder="1" applyAlignment="1" applyProtection="1">
      <alignment horizontal="center"/>
      <protection locked="0"/>
    </xf>
    <xf numFmtId="2" fontId="14" fillId="7" borderId="1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19" fillId="0" borderId="53" xfId="0" applyFont="1" applyBorder="1"/>
    <xf numFmtId="0" fontId="0" fillId="0" borderId="53" xfId="0" applyBorder="1"/>
    <xf numFmtId="2" fontId="45" fillId="0" borderId="0" xfId="0" applyNumberFormat="1" applyFont="1" applyProtection="1">
      <protection hidden="1"/>
    </xf>
    <xf numFmtId="0" fontId="48" fillId="5" borderId="0" xfId="0" applyFont="1" applyFill="1" applyProtection="1">
      <protection hidden="1"/>
    </xf>
    <xf numFmtId="0" fontId="78" fillId="5" borderId="0" xfId="0" applyFont="1" applyFill="1" applyProtection="1">
      <protection hidden="1"/>
    </xf>
    <xf numFmtId="2" fontId="48" fillId="5" borderId="0" xfId="0" applyNumberFormat="1" applyFont="1" applyFill="1" applyProtection="1">
      <protection hidden="1"/>
    </xf>
    <xf numFmtId="166" fontId="48" fillId="5" borderId="0" xfId="0" applyNumberFormat="1" applyFont="1" applyFill="1" applyProtection="1">
      <protection hidden="1"/>
    </xf>
    <xf numFmtId="165" fontId="48" fillId="5" borderId="0" xfId="0" applyNumberFormat="1" applyFont="1" applyFill="1" applyProtection="1">
      <protection hidden="1"/>
    </xf>
    <xf numFmtId="9" fontId="48" fillId="5" borderId="0" xfId="1" applyFont="1" applyFill="1" applyProtection="1">
      <protection hidden="1"/>
    </xf>
    <xf numFmtId="167" fontId="48" fillId="5" borderId="0" xfId="1" applyNumberFormat="1" applyFont="1" applyFill="1" applyProtection="1">
      <protection hidden="1"/>
    </xf>
    <xf numFmtId="178" fontId="0" fillId="0" borderId="0" xfId="0" applyNumberFormat="1"/>
    <xf numFmtId="0" fontId="30" fillId="0" borderId="0" xfId="0" applyFont="1" applyAlignment="1">
      <alignment vertical="top"/>
    </xf>
    <xf numFmtId="165" fontId="77" fillId="2" borderId="4" xfId="0" applyNumberFormat="1" applyFont="1" applyFill="1" applyBorder="1"/>
    <xf numFmtId="2" fontId="2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9" fontId="18" fillId="0" borderId="0" xfId="1" applyFont="1" applyAlignment="1">
      <alignment horizontal="center"/>
    </xf>
    <xf numFmtId="1" fontId="0" fillId="0" borderId="20" xfId="0" applyNumberFormat="1" applyBorder="1" applyAlignment="1">
      <alignment horizontal="center"/>
    </xf>
    <xf numFmtId="9" fontId="18" fillId="0" borderId="20" xfId="1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left" vertical="center"/>
    </xf>
    <xf numFmtId="0" fontId="18" fillId="0" borderId="53" xfId="0" applyFont="1" applyBorder="1" applyProtection="1">
      <protection hidden="1"/>
    </xf>
    <xf numFmtId="0" fontId="19" fillId="0" borderId="53" xfId="0" applyFont="1" applyBorder="1" applyProtection="1">
      <protection hidden="1"/>
    </xf>
    <xf numFmtId="0" fontId="0" fillId="0" borderId="53" xfId="0" applyBorder="1" applyProtection="1">
      <protection hidden="1"/>
    </xf>
    <xf numFmtId="0" fontId="37" fillId="0" borderId="0" xfId="0" applyFont="1" applyProtection="1">
      <protection hidden="1"/>
    </xf>
    <xf numFmtId="0" fontId="37" fillId="0" borderId="35" xfId="0" applyFont="1" applyBorder="1" applyProtection="1">
      <protection hidden="1"/>
    </xf>
    <xf numFmtId="0" fontId="17" fillId="0" borderId="0" xfId="0" applyFont="1" applyProtection="1">
      <protection hidden="1"/>
    </xf>
    <xf numFmtId="0" fontId="70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top"/>
      <protection hidden="1"/>
    </xf>
    <xf numFmtId="0" fontId="16" fillId="0" borderId="0" xfId="0" applyFont="1" applyProtection="1">
      <protection hidden="1"/>
    </xf>
    <xf numFmtId="2" fontId="0" fillId="0" borderId="0" xfId="0" applyNumberFormat="1" applyProtection="1">
      <protection hidden="1"/>
    </xf>
    <xf numFmtId="0" fontId="0" fillId="0" borderId="7" xfId="0" applyBorder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right"/>
      <protection hidden="1"/>
    </xf>
    <xf numFmtId="0" fontId="30" fillId="0" borderId="2" xfId="0" applyFont="1" applyBorder="1" applyAlignment="1" applyProtection="1">
      <alignment vertical="top"/>
      <protection hidden="1"/>
    </xf>
    <xf numFmtId="0" fontId="18" fillId="0" borderId="15" xfId="0" applyFont="1" applyBorder="1" applyProtection="1">
      <protection hidden="1"/>
    </xf>
    <xf numFmtId="0" fontId="19" fillId="0" borderId="15" xfId="0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8" xfId="0" applyBorder="1" applyProtection="1">
      <protection hidden="1"/>
    </xf>
    <xf numFmtId="0" fontId="17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1" fillId="0" borderId="0" xfId="0" applyFont="1" applyAlignment="1" applyProtection="1">
      <alignment horizontal="left"/>
      <protection hidden="1"/>
    </xf>
    <xf numFmtId="0" fontId="74" fillId="3" borderId="4" xfId="0" applyFont="1" applyFill="1" applyBorder="1" applyAlignment="1" applyProtection="1">
      <alignment horizontal="right"/>
      <protection hidden="1"/>
    </xf>
    <xf numFmtId="0" fontId="23" fillId="0" borderId="0" xfId="0" applyFont="1" applyAlignment="1" applyProtection="1">
      <alignment horizontal="right" vertical="center" wrapText="1"/>
      <protection hidden="1"/>
    </xf>
    <xf numFmtId="2" fontId="23" fillId="2" borderId="0" xfId="0" applyNumberFormat="1" applyFont="1" applyFill="1" applyAlignment="1" applyProtection="1">
      <alignment horizontal="center" vertical="center"/>
      <protection hidden="1"/>
    </xf>
    <xf numFmtId="2" fontId="20" fillId="0" borderId="0" xfId="0" applyNumberFormat="1" applyFont="1" applyAlignment="1" applyProtection="1">
      <alignment horizontal="center"/>
      <protection hidden="1"/>
    </xf>
    <xf numFmtId="166" fontId="20" fillId="0" borderId="0" xfId="0" applyNumberFormat="1" applyFont="1" applyProtection="1">
      <protection hidden="1"/>
    </xf>
    <xf numFmtId="0" fontId="23" fillId="0" borderId="0" xfId="0" applyFont="1" applyAlignment="1" applyProtection="1">
      <alignment vertical="center" wrapText="1"/>
      <protection hidden="1"/>
    </xf>
    <xf numFmtId="2" fontId="23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9" fontId="23" fillId="2" borderId="5" xfId="1" applyFont="1" applyFill="1" applyBorder="1" applyAlignment="1" applyProtection="1">
      <alignment horizontal="center" vertical="center"/>
      <protection hidden="1"/>
    </xf>
    <xf numFmtId="9" fontId="23" fillId="0" borderId="0" xfId="1" applyFont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20" fillId="2" borderId="5" xfId="0" applyNumberFormat="1" applyFont="1" applyFill="1" applyBorder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0" fontId="18" fillId="0" borderId="31" xfId="0" applyFont="1" applyBorder="1" applyProtection="1">
      <protection hidden="1"/>
    </xf>
    <xf numFmtId="0" fontId="18" fillId="0" borderId="32" xfId="0" applyFont="1" applyBorder="1" applyProtection="1">
      <protection hidden="1"/>
    </xf>
    <xf numFmtId="0" fontId="19" fillId="0" borderId="32" xfId="0" applyFont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6" xfId="0" applyBorder="1" applyProtection="1">
      <protection hidden="1"/>
    </xf>
    <xf numFmtId="0" fontId="17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56" fillId="0" borderId="35" xfId="0" applyFont="1" applyBorder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vertical="center"/>
      <protection hidden="1"/>
    </xf>
    <xf numFmtId="0" fontId="56" fillId="0" borderId="35" xfId="0" applyFont="1" applyBorder="1" applyAlignment="1" applyProtection="1">
      <alignment horizontal="left"/>
      <protection hidden="1"/>
    </xf>
    <xf numFmtId="0" fontId="56" fillId="0" borderId="0" xfId="0" applyFont="1" applyAlignment="1" applyProtection="1">
      <alignment horizontal="left"/>
      <protection hidden="1"/>
    </xf>
    <xf numFmtId="0" fontId="24" fillId="0" borderId="0" xfId="0" applyFont="1" applyProtection="1">
      <protection hidden="1"/>
    </xf>
    <xf numFmtId="0" fontId="24" fillId="0" borderId="36" xfId="0" applyFont="1" applyBorder="1" applyAlignment="1" applyProtection="1">
      <alignment horizontal="left" vertical="center" wrapText="1"/>
      <protection hidden="1"/>
    </xf>
    <xf numFmtId="0" fontId="24" fillId="0" borderId="35" xfId="0" applyFont="1" applyBorder="1" applyProtection="1">
      <protection hidden="1"/>
    </xf>
    <xf numFmtId="0" fontId="21" fillId="0" borderId="0" xfId="0" applyFont="1" applyProtection="1">
      <protection hidden="1"/>
    </xf>
    <xf numFmtId="2" fontId="0" fillId="0" borderId="43" xfId="0" applyNumberFormat="1" applyBorder="1" applyProtection="1">
      <protection hidden="1"/>
    </xf>
    <xf numFmtId="2" fontId="0" fillId="0" borderId="18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2" fontId="42" fillId="0" borderId="35" xfId="0" applyNumberFormat="1" applyFont="1" applyBorder="1" applyAlignment="1" applyProtection="1">
      <alignment horizontal="right"/>
      <protection hidden="1"/>
    </xf>
    <xf numFmtId="2" fontId="42" fillId="0" borderId="35" xfId="0" applyNumberFormat="1" applyFont="1" applyBorder="1" applyProtection="1">
      <protection hidden="1"/>
    </xf>
    <xf numFmtId="2" fontId="42" fillId="0" borderId="0" xfId="0" applyNumberFormat="1" applyFont="1" applyProtection="1">
      <protection hidden="1"/>
    </xf>
    <xf numFmtId="2" fontId="42" fillId="0" borderId="36" xfId="0" applyNumberFormat="1" applyFont="1" applyBorder="1" applyProtection="1">
      <protection hidden="1"/>
    </xf>
    <xf numFmtId="0" fontId="42" fillId="0" borderId="0" xfId="0" applyFont="1" applyProtection="1">
      <protection hidden="1"/>
    </xf>
    <xf numFmtId="0" fontId="47" fillId="0" borderId="0" xfId="0" applyFont="1" applyAlignment="1" applyProtection="1">
      <alignment horizontal="left"/>
      <protection hidden="1"/>
    </xf>
    <xf numFmtId="2" fontId="43" fillId="0" borderId="0" xfId="0" applyNumberFormat="1" applyFont="1" applyAlignment="1" applyProtection="1">
      <alignment horizontal="center"/>
      <protection hidden="1"/>
    </xf>
    <xf numFmtId="0" fontId="44" fillId="0" borderId="0" xfId="0" applyFont="1" applyAlignment="1" applyProtection="1">
      <alignment horizontal="left"/>
      <protection hidden="1"/>
    </xf>
    <xf numFmtId="2" fontId="42" fillId="0" borderId="48" xfId="0" applyNumberFormat="1" applyFont="1" applyBorder="1" applyProtection="1">
      <protection hidden="1"/>
    </xf>
    <xf numFmtId="2" fontId="42" fillId="0" borderId="49" xfId="0" applyNumberFormat="1" applyFont="1" applyBorder="1" applyProtection="1">
      <protection hidden="1"/>
    </xf>
    <xf numFmtId="2" fontId="0" fillId="0" borderId="30" xfId="0" applyNumberFormat="1" applyBorder="1" applyProtection="1">
      <protection hidden="1"/>
    </xf>
    <xf numFmtId="2" fontId="0" fillId="0" borderId="21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0" fontId="25" fillId="0" borderId="0" xfId="0" applyFont="1" applyProtection="1">
      <protection hidden="1"/>
    </xf>
    <xf numFmtId="0" fontId="16" fillId="12" borderId="0" xfId="0" applyFont="1" applyFill="1" applyProtection="1">
      <protection hidden="1"/>
    </xf>
    <xf numFmtId="0" fontId="16" fillId="11" borderId="0" xfId="0" applyFont="1" applyFill="1" applyProtection="1">
      <protection hidden="1"/>
    </xf>
    <xf numFmtId="0" fontId="16" fillId="18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71" fillId="17" borderId="0" xfId="0" applyFont="1" applyFill="1" applyProtection="1">
      <protection hidden="1"/>
    </xf>
    <xf numFmtId="0" fontId="16" fillId="16" borderId="0" xfId="0" applyFont="1" applyFill="1" applyProtection="1">
      <protection hidden="1"/>
    </xf>
    <xf numFmtId="0" fontId="25" fillId="12" borderId="0" xfId="0" applyFont="1" applyFill="1" applyProtection="1">
      <protection hidden="1"/>
    </xf>
    <xf numFmtId="0" fontId="25" fillId="11" borderId="0" xfId="0" applyFont="1" applyFill="1" applyProtection="1">
      <protection hidden="1"/>
    </xf>
    <xf numFmtId="0" fontId="25" fillId="18" borderId="0" xfId="0" applyFont="1" applyFill="1" applyProtection="1">
      <protection hidden="1"/>
    </xf>
    <xf numFmtId="0" fontId="25" fillId="2" borderId="0" xfId="0" applyFont="1" applyFill="1" applyProtection="1">
      <protection hidden="1"/>
    </xf>
    <xf numFmtId="0" fontId="25" fillId="3" borderId="0" xfId="0" applyFont="1" applyFill="1" applyProtection="1">
      <protection hidden="1"/>
    </xf>
    <xf numFmtId="0" fontId="73" fillId="17" borderId="0" xfId="0" applyFont="1" applyFill="1" applyProtection="1">
      <protection hidden="1"/>
    </xf>
    <xf numFmtId="0" fontId="25" fillId="16" borderId="0" xfId="0" applyFont="1" applyFill="1" applyProtection="1">
      <protection hidden="1"/>
    </xf>
    <xf numFmtId="0" fontId="16" fillId="13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71" fillId="17" borderId="0" xfId="0" applyFont="1" applyFill="1" applyAlignment="1" applyProtection="1">
      <alignment horizontal="center"/>
      <protection hidden="1"/>
    </xf>
    <xf numFmtId="0" fontId="16" fillId="16" borderId="0" xfId="0" applyFont="1" applyFill="1" applyAlignment="1" applyProtection="1">
      <alignment horizontal="center"/>
      <protection hidden="1"/>
    </xf>
    <xf numFmtId="0" fontId="16" fillId="13" borderId="0" xfId="0" applyFont="1" applyFill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center"/>
      <protection hidden="1"/>
    </xf>
    <xf numFmtId="0" fontId="25" fillId="3" borderId="0" xfId="0" applyFont="1" applyFill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  <xf numFmtId="0" fontId="25" fillId="16" borderId="0" xfId="0" applyFont="1" applyFill="1" applyAlignment="1" applyProtection="1">
      <alignment horizontal="center"/>
      <protection hidden="1"/>
    </xf>
    <xf numFmtId="0" fontId="72" fillId="12" borderId="0" xfId="0" applyFont="1" applyFill="1" applyProtection="1">
      <protection hidden="1"/>
    </xf>
    <xf numFmtId="0" fontId="72" fillId="11" borderId="0" xfId="0" applyFont="1" applyFill="1" applyProtection="1">
      <protection hidden="1"/>
    </xf>
    <xf numFmtId="0" fontId="72" fillId="18" borderId="0" xfId="0" applyFont="1" applyFill="1" applyProtection="1">
      <protection hidden="1"/>
    </xf>
    <xf numFmtId="2" fontId="16" fillId="2" borderId="0" xfId="0" applyNumberFormat="1" applyFont="1" applyFill="1" applyAlignment="1" applyProtection="1">
      <alignment horizontal="center"/>
      <protection hidden="1"/>
    </xf>
    <xf numFmtId="2" fontId="16" fillId="3" borderId="0" xfId="0" applyNumberFormat="1" applyFont="1" applyFill="1" applyAlignment="1" applyProtection="1">
      <alignment horizontal="center"/>
      <protection hidden="1"/>
    </xf>
    <xf numFmtId="2" fontId="71" fillId="17" borderId="0" xfId="0" applyNumberFormat="1" applyFont="1" applyFill="1" applyAlignment="1" applyProtection="1">
      <alignment horizontal="center"/>
      <protection hidden="1"/>
    </xf>
    <xf numFmtId="0" fontId="16" fillId="0" borderId="0" xfId="0" applyFont="1" applyAlignment="1" applyProtection="1">
      <alignment vertical="top"/>
      <protection hidden="1"/>
    </xf>
    <xf numFmtId="0" fontId="72" fillId="12" borderId="0" xfId="0" applyFont="1" applyFill="1" applyAlignment="1" applyProtection="1">
      <alignment vertical="top"/>
      <protection hidden="1"/>
    </xf>
    <xf numFmtId="0" fontId="72" fillId="11" borderId="0" xfId="0" applyFont="1" applyFill="1" applyAlignment="1" applyProtection="1">
      <alignment vertical="top"/>
      <protection hidden="1"/>
    </xf>
    <xf numFmtId="0" fontId="72" fillId="18" borderId="0" xfId="0" applyFont="1" applyFill="1" applyAlignment="1" applyProtection="1">
      <alignment vertical="top"/>
      <protection hidden="1"/>
    </xf>
    <xf numFmtId="165" fontId="72" fillId="2" borderId="0" xfId="0" applyNumberFormat="1" applyFont="1" applyFill="1" applyAlignment="1" applyProtection="1">
      <alignment horizontal="center"/>
      <protection hidden="1"/>
    </xf>
    <xf numFmtId="165" fontId="72" fillId="13" borderId="0" xfId="0" applyNumberFormat="1" applyFont="1" applyFill="1" applyAlignment="1" applyProtection="1">
      <alignment vertical="top"/>
      <protection hidden="1"/>
    </xf>
    <xf numFmtId="177" fontId="72" fillId="12" borderId="0" xfId="6" applyNumberFormat="1" applyFont="1" applyFill="1" applyAlignment="1" applyProtection="1">
      <alignment vertical="top"/>
      <protection hidden="1"/>
    </xf>
    <xf numFmtId="9" fontId="16" fillId="2" borderId="0" xfId="1" applyFont="1" applyFill="1" applyAlignment="1" applyProtection="1">
      <alignment horizontal="center"/>
      <protection hidden="1"/>
    </xf>
    <xf numFmtId="9" fontId="16" fillId="3" borderId="0" xfId="1" applyFont="1" applyFill="1" applyAlignment="1" applyProtection="1">
      <alignment horizontal="center"/>
      <protection hidden="1"/>
    </xf>
    <xf numFmtId="9" fontId="71" fillId="17" borderId="0" xfId="1" applyFont="1" applyFill="1" applyAlignment="1" applyProtection="1">
      <alignment horizontal="center"/>
      <protection hidden="1"/>
    </xf>
    <xf numFmtId="9" fontId="16" fillId="16" borderId="0" xfId="1" applyFont="1" applyFill="1" applyProtection="1">
      <protection hidden="1"/>
    </xf>
    <xf numFmtId="177" fontId="72" fillId="13" borderId="0" xfId="6" applyNumberFormat="1" applyFont="1" applyFill="1" applyAlignment="1" applyProtection="1">
      <alignment vertical="top"/>
      <protection hidden="1"/>
    </xf>
    <xf numFmtId="2" fontId="16" fillId="11" borderId="0" xfId="0" applyNumberFormat="1" applyFont="1" applyFill="1" applyAlignment="1" applyProtection="1">
      <alignment horizontal="center"/>
      <protection hidden="1"/>
    </xf>
    <xf numFmtId="2" fontId="72" fillId="2" borderId="0" xfId="0" applyNumberFormat="1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6" fillId="8" borderId="0" xfId="0" applyFont="1" applyFill="1" applyProtection="1">
      <protection hidden="1"/>
    </xf>
    <xf numFmtId="0" fontId="0" fillId="13" borderId="0" xfId="0" applyFill="1" applyProtection="1">
      <protection hidden="1"/>
    </xf>
    <xf numFmtId="0" fontId="0" fillId="19" borderId="0" xfId="0" applyFill="1" applyProtection="1">
      <protection hidden="1"/>
    </xf>
    <xf numFmtId="0" fontId="0" fillId="19" borderId="0" xfId="0" quotePrefix="1" applyFill="1" applyProtection="1">
      <protection hidden="1"/>
    </xf>
    <xf numFmtId="0" fontId="34" fillId="13" borderId="0" xfId="0" applyFont="1" applyFill="1" applyProtection="1">
      <protection hidden="1"/>
    </xf>
    <xf numFmtId="0" fontId="16" fillId="14" borderId="0" xfId="0" applyFont="1" applyFill="1" applyProtection="1">
      <protection hidden="1"/>
    </xf>
    <xf numFmtId="0" fontId="60" fillId="9" borderId="0" xfId="0" applyFont="1" applyFill="1" applyProtection="1">
      <protection hidden="1"/>
    </xf>
    <xf numFmtId="0" fontId="60" fillId="9" borderId="0" xfId="0" applyFont="1" applyFill="1" applyAlignment="1" applyProtection="1">
      <alignment horizontal="center"/>
      <protection hidden="1"/>
    </xf>
    <xf numFmtId="0" fontId="60" fillId="9" borderId="0" xfId="0" applyFont="1" applyFill="1" applyAlignment="1" applyProtection="1">
      <alignment horizontal="center" wrapText="1"/>
      <protection hidden="1"/>
    </xf>
    <xf numFmtId="0" fontId="61" fillId="10" borderId="0" xfId="0" applyFont="1" applyFill="1" applyAlignment="1" applyProtection="1">
      <alignment horizontal="center"/>
      <protection hidden="1"/>
    </xf>
    <xf numFmtId="0" fontId="62" fillId="10" borderId="0" xfId="0" applyFont="1" applyFill="1" applyAlignment="1" applyProtection="1">
      <alignment horizontal="center"/>
      <protection hidden="1"/>
    </xf>
    <xf numFmtId="0" fontId="60" fillId="0" borderId="0" xfId="0" applyFont="1" applyProtection="1">
      <protection hidden="1"/>
    </xf>
    <xf numFmtId="0" fontId="60" fillId="0" borderId="0" xfId="0" applyFont="1" applyAlignment="1" applyProtection="1">
      <alignment horizontal="center"/>
      <protection hidden="1"/>
    </xf>
    <xf numFmtId="0" fontId="49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0" fillId="11" borderId="0" xfId="0" applyFill="1" applyProtection="1">
      <protection hidden="1"/>
    </xf>
    <xf numFmtId="0" fontId="64" fillId="0" borderId="0" xfId="0" applyFont="1" applyAlignment="1" applyProtection="1">
      <alignment vertical="center"/>
      <protection hidden="1"/>
    </xf>
    <xf numFmtId="173" fontId="29" fillId="0" borderId="0" xfId="0" applyNumberFormat="1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left"/>
      <protection hidden="1"/>
    </xf>
    <xf numFmtId="0" fontId="34" fillId="0" borderId="0" xfId="0" applyFont="1" applyAlignment="1" applyProtection="1">
      <alignment horizontal="center"/>
      <protection hidden="1"/>
    </xf>
    <xf numFmtId="174" fontId="34" fillId="0" borderId="0" xfId="0" applyNumberFormat="1" applyFont="1" applyProtection="1">
      <protection hidden="1"/>
    </xf>
    <xf numFmtId="0" fontId="65" fillId="0" borderId="0" xfId="0" applyFont="1" applyAlignment="1" applyProtection="1">
      <alignment horizontal="center"/>
      <protection hidden="1"/>
    </xf>
    <xf numFmtId="175" fontId="34" fillId="0" borderId="0" xfId="0" applyNumberFormat="1" applyFont="1" applyProtection="1">
      <protection hidden="1"/>
    </xf>
    <xf numFmtId="0" fontId="66" fillId="0" borderId="0" xfId="0" applyFont="1" applyAlignment="1" applyProtection="1">
      <alignment horizontal="left"/>
      <protection hidden="1"/>
    </xf>
    <xf numFmtId="0" fontId="66" fillId="0" borderId="0" xfId="0" applyFont="1" applyAlignment="1" applyProtection="1">
      <alignment horizontal="center"/>
      <protection hidden="1"/>
    </xf>
    <xf numFmtId="0" fontId="6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49" fillId="11" borderId="0" xfId="0" applyFont="1" applyFill="1" applyProtection="1">
      <protection hidden="1"/>
    </xf>
    <xf numFmtId="0" fontId="50" fillId="12" borderId="0" xfId="0" applyFont="1" applyFill="1" applyProtection="1">
      <protection hidden="1"/>
    </xf>
    <xf numFmtId="0" fontId="34" fillId="0" borderId="0" xfId="0" applyFont="1" applyAlignment="1" applyProtection="1">
      <alignment horizontal="right"/>
      <protection hidden="1"/>
    </xf>
    <xf numFmtId="0" fontId="49" fillId="13" borderId="0" xfId="0" applyFont="1" applyFill="1" applyProtection="1">
      <protection hidden="1"/>
    </xf>
    <xf numFmtId="0" fontId="53" fillId="13" borderId="0" xfId="0" applyFont="1" applyFill="1" applyProtection="1">
      <protection hidden="1"/>
    </xf>
    <xf numFmtId="14" fontId="63" fillId="13" borderId="0" xfId="0" applyNumberFormat="1" applyFont="1" applyFill="1" applyProtection="1">
      <protection hidden="1"/>
    </xf>
    <xf numFmtId="0" fontId="34" fillId="0" borderId="0" xfId="0" applyFont="1" applyAlignment="1" applyProtection="1">
      <alignment horizontal="right" indent="1"/>
      <protection hidden="1"/>
    </xf>
    <xf numFmtId="0" fontId="67" fillId="0" borderId="0" xfId="0" applyFont="1" applyProtection="1">
      <protection hidden="1"/>
    </xf>
    <xf numFmtId="0" fontId="50" fillId="13" borderId="0" xfId="0" applyFont="1" applyFill="1" applyProtection="1">
      <protection hidden="1"/>
    </xf>
    <xf numFmtId="0" fontId="52" fillId="0" borderId="0" xfId="0" applyFont="1" applyAlignment="1" applyProtection="1">
      <alignment horizontal="left"/>
      <protection hidden="1"/>
    </xf>
    <xf numFmtId="0" fontId="52" fillId="0" borderId="0" xfId="0" applyFont="1" applyAlignment="1" applyProtection="1">
      <alignment horizontal="center"/>
      <protection hidden="1"/>
    </xf>
    <xf numFmtId="174" fontId="52" fillId="0" borderId="0" xfId="0" applyNumberFormat="1" applyFont="1" applyProtection="1">
      <protection hidden="1"/>
    </xf>
    <xf numFmtId="0" fontId="0" fillId="15" borderId="0" xfId="0" applyFill="1" applyProtection="1">
      <protection hidden="1"/>
    </xf>
    <xf numFmtId="0" fontId="51" fillId="0" borderId="0" xfId="0" applyFont="1" applyProtection="1">
      <protection hidden="1"/>
    </xf>
    <xf numFmtId="0" fontId="24" fillId="15" borderId="0" xfId="0" applyFont="1" applyFill="1" applyProtection="1">
      <protection hidden="1"/>
    </xf>
    <xf numFmtId="0" fontId="34" fillId="0" borderId="0" xfId="0" applyFont="1" applyAlignment="1" applyProtection="1">
      <alignment horizontal="left" vertical="center" wrapText="1"/>
      <protection hidden="1"/>
    </xf>
    <xf numFmtId="174" fontId="34" fillId="0" borderId="0" xfId="0" applyNumberFormat="1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0" fontId="15" fillId="14" borderId="0" xfId="0" applyFont="1" applyFill="1" applyAlignment="1" applyProtection="1">
      <alignment horizontal="right"/>
      <protection hidden="1"/>
    </xf>
    <xf numFmtId="176" fontId="65" fillId="14" borderId="0" xfId="0" applyNumberFormat="1" applyFont="1" applyFill="1" applyProtection="1">
      <protection hidden="1"/>
    </xf>
    <xf numFmtId="0" fontId="15" fillId="14" borderId="0" xfId="0" applyFont="1" applyFill="1" applyProtection="1">
      <protection hidden="1"/>
    </xf>
    <xf numFmtId="0" fontId="25" fillId="14" borderId="0" xfId="0" applyFont="1" applyFill="1" applyProtection="1">
      <protection hidden="1"/>
    </xf>
    <xf numFmtId="172" fontId="15" fillId="14" borderId="0" xfId="0" applyNumberFormat="1" applyFont="1" applyFill="1" applyAlignment="1" applyProtection="1">
      <alignment horizontal="right"/>
      <protection hidden="1"/>
    </xf>
    <xf numFmtId="16" fontId="15" fillId="14" borderId="0" xfId="0" applyNumberFormat="1" applyFont="1" applyFill="1" applyAlignment="1" applyProtection="1">
      <alignment horizontal="right"/>
      <protection hidden="1"/>
    </xf>
    <xf numFmtId="172" fontId="15" fillId="14" borderId="0" xfId="0" applyNumberFormat="1" applyFont="1" applyFill="1" applyProtection="1">
      <protection hidden="1"/>
    </xf>
    <xf numFmtId="0" fontId="15" fillId="14" borderId="0" xfId="0" quotePrefix="1" applyFont="1" applyFill="1" applyProtection="1">
      <protection hidden="1"/>
    </xf>
    <xf numFmtId="0" fontId="15" fillId="14" borderId="0" xfId="6" applyNumberFormat="1" applyFont="1" applyFill="1" applyProtection="1">
      <protection hidden="1"/>
    </xf>
    <xf numFmtId="0" fontId="65" fillId="0" borderId="0" xfId="0" applyFont="1" applyAlignment="1" applyProtection="1">
      <alignment horizontal="left"/>
      <protection hidden="1"/>
    </xf>
    <xf numFmtId="0" fontId="68" fillId="0" borderId="0" xfId="0" applyFont="1" applyAlignment="1" applyProtection="1">
      <alignment horizontal="left"/>
      <protection hidden="1"/>
    </xf>
    <xf numFmtId="0" fontId="34" fillId="0" borderId="52" xfId="0" applyFont="1" applyBorder="1" applyAlignment="1" applyProtection="1">
      <alignment horizontal="left" vertical="center" wrapText="1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left" vertical="center" wrapText="1"/>
      <protection hidden="1"/>
    </xf>
    <xf numFmtId="0" fontId="34" fillId="0" borderId="0" xfId="0" applyFont="1" applyAlignment="1" applyProtection="1">
      <alignment vertical="center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40" fillId="0" borderId="0" xfId="0" applyFont="1" applyAlignment="1" applyProtection="1">
      <alignment vertical="top"/>
      <protection hidden="1"/>
    </xf>
    <xf numFmtId="49" fontId="75" fillId="3" borderId="4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Protection="1">
      <protection hidden="1"/>
    </xf>
    <xf numFmtId="0" fontId="79" fillId="0" borderId="0" xfId="0" applyFont="1" applyAlignment="1">
      <alignment horizontal="center" vertical="center"/>
    </xf>
    <xf numFmtId="2" fontId="5" fillId="2" borderId="4" xfId="0" applyNumberFormat="1" applyFont="1" applyFill="1" applyBorder="1" applyAlignment="1" applyProtection="1">
      <alignment horizontal="center" vertical="center"/>
      <protection hidden="1"/>
    </xf>
    <xf numFmtId="2" fontId="4" fillId="0" borderId="35" xfId="0" applyNumberFormat="1" applyFont="1" applyBorder="1" applyAlignment="1" applyProtection="1">
      <alignment horizontal="right"/>
      <protection hidden="1"/>
    </xf>
    <xf numFmtId="0" fontId="24" fillId="2" borderId="4" xfId="0" applyFont="1" applyFill="1" applyBorder="1" applyAlignment="1" applyProtection="1">
      <alignment vertical="center" wrapText="1"/>
      <protection locked="0"/>
    </xf>
    <xf numFmtId="0" fontId="56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49" fontId="23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7" fillId="0" borderId="55" xfId="0" applyFont="1" applyBorder="1"/>
    <xf numFmtId="0" fontId="18" fillId="0" borderId="0" xfId="0" applyFont="1" applyBorder="1"/>
    <xf numFmtId="0" fontId="37" fillId="0" borderId="18" xfId="0" applyFont="1" applyBorder="1" applyProtection="1">
      <protection hidden="1"/>
    </xf>
    <xf numFmtId="2" fontId="23" fillId="4" borderId="1" xfId="0" applyNumberFormat="1" applyFont="1" applyFill="1" applyBorder="1" applyAlignment="1" applyProtection="1">
      <alignment vertical="center"/>
      <protection hidden="1"/>
    </xf>
    <xf numFmtId="0" fontId="18" fillId="0" borderId="56" xfId="0" applyFont="1" applyBorder="1"/>
    <xf numFmtId="0" fontId="81" fillId="0" borderId="0" xfId="0" applyFont="1"/>
    <xf numFmtId="0" fontId="18" fillId="0" borderId="0" xfId="0" applyFont="1" applyAlignment="1">
      <alignment wrapText="1"/>
    </xf>
    <xf numFmtId="165" fontId="0" fillId="0" borderId="5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82" fillId="0" borderId="0" xfId="0" applyFont="1"/>
    <xf numFmtId="0" fontId="18" fillId="0" borderId="56" xfId="0" applyFont="1" applyBorder="1" applyAlignment="1">
      <alignment wrapText="1"/>
    </xf>
    <xf numFmtId="0" fontId="0" fillId="5" borderId="57" xfId="0" applyFill="1" applyBorder="1"/>
    <xf numFmtId="0" fontId="14" fillId="3" borderId="57" xfId="0" applyFont="1" applyFill="1" applyBorder="1" applyAlignment="1">
      <alignment wrapText="1"/>
    </xf>
    <xf numFmtId="0" fontId="3" fillId="0" borderId="0" xfId="0" applyFont="1"/>
    <xf numFmtId="0" fontId="3" fillId="0" borderId="56" xfId="0" applyFont="1" applyBorder="1"/>
    <xf numFmtId="165" fontId="3" fillId="0" borderId="56" xfId="0" applyNumberFormat="1" applyFont="1" applyBorder="1" applyAlignment="1">
      <alignment horizontal="center"/>
    </xf>
    <xf numFmtId="0" fontId="3" fillId="0" borderId="57" xfId="0" applyFont="1" applyBorder="1"/>
    <xf numFmtId="165" fontId="3" fillId="0" borderId="57" xfId="0" applyNumberFormat="1" applyFont="1" applyBorder="1" applyAlignment="1">
      <alignment horizontal="center"/>
    </xf>
    <xf numFmtId="165" fontId="3" fillId="0" borderId="57" xfId="0" applyNumberFormat="1" applyFont="1" applyBorder="1" applyAlignment="1">
      <alignment horizontal="center" wrapText="1"/>
    </xf>
    <xf numFmtId="0" fontId="23" fillId="0" borderId="56" xfId="0" applyFont="1" applyBorder="1" applyAlignment="1">
      <alignment horizontal="center" wrapText="1"/>
    </xf>
    <xf numFmtId="0" fontId="3" fillId="5" borderId="0" xfId="0" applyFont="1" applyFill="1"/>
    <xf numFmtId="0" fontId="3" fillId="5" borderId="57" xfId="0" applyFont="1" applyFill="1" applyBorder="1"/>
    <xf numFmtId="165" fontId="3" fillId="5" borderId="57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0" fontId="23" fillId="20" borderId="0" xfId="0" applyFont="1" applyFill="1" applyAlignment="1">
      <alignment horizontal="center" vertical="center" wrapText="1"/>
    </xf>
    <xf numFmtId="0" fontId="83" fillId="0" borderId="0" xfId="0" applyFont="1" applyAlignment="1">
      <alignment wrapText="1"/>
    </xf>
    <xf numFmtId="0" fontId="83" fillId="0" borderId="0" xfId="0" applyFont="1"/>
    <xf numFmtId="0" fontId="84" fillId="2" borderId="0" xfId="0" applyFont="1" applyFill="1" applyAlignment="1">
      <alignment horizontal="center" vertical="center" wrapText="1"/>
    </xf>
    <xf numFmtId="0" fontId="85" fillId="0" borderId="0" xfId="0" applyFont="1" applyAlignment="1">
      <alignment wrapText="1"/>
    </xf>
    <xf numFmtId="165" fontId="87" fillId="0" borderId="56" xfId="0" applyNumberFormat="1" applyFont="1" applyBorder="1" applyAlignment="1">
      <alignment horizontal="center"/>
    </xf>
    <xf numFmtId="165" fontId="87" fillId="0" borderId="57" xfId="0" applyNumberFormat="1" applyFont="1" applyBorder="1" applyAlignment="1">
      <alignment horizontal="center"/>
    </xf>
    <xf numFmtId="165" fontId="87" fillId="0" borderId="57" xfId="0" applyNumberFormat="1" applyFont="1" applyBorder="1" applyAlignment="1">
      <alignment horizontal="center" wrapText="1"/>
    </xf>
    <xf numFmtId="165" fontId="83" fillId="0" borderId="0" xfId="0" applyNumberFormat="1" applyFont="1" applyAlignment="1">
      <alignment horizontal="center"/>
    </xf>
    <xf numFmtId="164" fontId="87" fillId="0" borderId="57" xfId="0" applyNumberFormat="1" applyFont="1" applyBorder="1" applyAlignment="1">
      <alignment horizontal="center"/>
    </xf>
    <xf numFmtId="2" fontId="87" fillId="0" borderId="57" xfId="0" applyNumberFormat="1" applyFont="1" applyBorder="1" applyAlignment="1">
      <alignment horizontal="center"/>
    </xf>
    <xf numFmtId="165" fontId="87" fillId="5" borderId="0" xfId="0" applyNumberFormat="1" applyFont="1" applyFill="1" applyAlignment="1">
      <alignment horizontal="center"/>
    </xf>
    <xf numFmtId="165" fontId="87" fillId="5" borderId="57" xfId="0" applyNumberFormat="1" applyFont="1" applyFill="1" applyBorder="1" applyAlignment="1">
      <alignment horizontal="center"/>
    </xf>
    <xf numFmtId="165" fontId="83" fillId="5" borderId="57" xfId="0" applyNumberFormat="1" applyFont="1" applyFill="1" applyBorder="1" applyAlignment="1">
      <alignment horizontal="center"/>
    </xf>
    <xf numFmtId="0" fontId="85" fillId="0" borderId="56" xfId="0" applyFont="1" applyBorder="1" applyAlignment="1">
      <alignment wrapText="1"/>
    </xf>
    <xf numFmtId="0" fontId="81" fillId="0" borderId="0" xfId="0" applyFont="1" applyAlignment="1">
      <alignment vertical="center"/>
    </xf>
    <xf numFmtId="0" fontId="87" fillId="0" borderId="0" xfId="0" applyFont="1" applyAlignment="1">
      <alignment wrapText="1"/>
    </xf>
    <xf numFmtId="0" fontId="88" fillId="0" borderId="58" xfId="0" applyFont="1" applyBorder="1" applyAlignment="1">
      <alignment horizontal="center" vertical="center"/>
    </xf>
    <xf numFmtId="0" fontId="88" fillId="0" borderId="59" xfId="0" applyFont="1" applyBorder="1" applyAlignment="1">
      <alignment vertical="center"/>
    </xf>
    <xf numFmtId="0" fontId="88" fillId="0" borderId="0" xfId="0" applyFont="1" applyAlignment="1">
      <alignment horizontal="left" vertical="center"/>
    </xf>
    <xf numFmtId="2" fontId="87" fillId="0" borderId="60" xfId="0" applyNumberFormat="1" applyFont="1" applyBorder="1" applyAlignment="1">
      <alignment horizontal="center"/>
    </xf>
    <xf numFmtId="0" fontId="87" fillId="0" borderId="0" xfId="0" applyFont="1"/>
    <xf numFmtId="0" fontId="83" fillId="0" borderId="0" xfId="0" applyFont="1" applyAlignment="1">
      <alignment vertical="center"/>
    </xf>
    <xf numFmtId="0" fontId="87" fillId="0" borderId="57" xfId="0" applyFont="1" applyBorder="1"/>
    <xf numFmtId="165" fontId="87" fillId="0" borderId="56" xfId="0" applyNumberFormat="1" applyFont="1" applyBorder="1" applyAlignment="1" applyProtection="1">
      <alignment horizontal="center"/>
    </xf>
    <xf numFmtId="0" fontId="0" fillId="0" borderId="0" xfId="0" applyProtection="1"/>
    <xf numFmtId="0" fontId="18" fillId="0" borderId="15" xfId="0" applyFont="1" applyBorder="1" applyProtection="1"/>
    <xf numFmtId="0" fontId="19" fillId="0" borderId="15" xfId="0" applyFont="1" applyBorder="1" applyProtection="1"/>
    <xf numFmtId="0" fontId="0" fillId="0" borderId="15" xfId="0" applyBorder="1" applyProtection="1"/>
    <xf numFmtId="0" fontId="48" fillId="5" borderId="0" xfId="0" applyFont="1" applyFill="1" applyProtection="1"/>
    <xf numFmtId="0" fontId="48" fillId="0" borderId="0" xfId="0" applyFont="1" applyProtection="1"/>
    <xf numFmtId="0" fontId="31" fillId="0" borderId="0" xfId="0" applyFont="1" applyProtection="1"/>
    <xf numFmtId="0" fontId="37" fillId="0" borderId="55" xfId="0" applyFont="1" applyBorder="1" applyProtection="1"/>
    <xf numFmtId="0" fontId="17" fillId="0" borderId="0" xfId="0" applyFont="1" applyProtection="1"/>
    <xf numFmtId="0" fontId="30" fillId="0" borderId="0" xfId="0" applyFont="1" applyProtection="1"/>
    <xf numFmtId="0" fontId="23" fillId="0" borderId="0" xfId="0" applyFont="1" applyAlignment="1" applyProtection="1">
      <alignment horizontal="right"/>
    </xf>
    <xf numFmtId="0" fontId="20" fillId="0" borderId="0" xfId="0" applyFont="1" applyProtection="1"/>
    <xf numFmtId="0" fontId="20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0" fillId="0" borderId="0" xfId="0" applyAlignment="1" applyProtection="1">
      <alignment horizontal="center"/>
    </xf>
    <xf numFmtId="0" fontId="25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vertical="top"/>
    </xf>
    <xf numFmtId="0" fontId="78" fillId="5" borderId="0" xfId="0" applyFont="1" applyFill="1" applyProtection="1"/>
    <xf numFmtId="0" fontId="16" fillId="0" borderId="0" xfId="0" applyFont="1" applyProtection="1"/>
    <xf numFmtId="2" fontId="48" fillId="5" borderId="0" xfId="0" applyNumberFormat="1" applyFont="1" applyFill="1" applyProtection="1"/>
    <xf numFmtId="166" fontId="48" fillId="5" borderId="0" xfId="0" applyNumberFormat="1" applyFont="1" applyFill="1" applyProtection="1"/>
    <xf numFmtId="165" fontId="48" fillId="5" borderId="0" xfId="0" applyNumberFormat="1" applyFont="1" applyFill="1" applyProtection="1"/>
    <xf numFmtId="2" fontId="0" fillId="0" borderId="0" xfId="0" applyNumberFormat="1" applyProtection="1"/>
    <xf numFmtId="0" fontId="0" fillId="0" borderId="7" xfId="0" applyBorder="1" applyProtection="1"/>
    <xf numFmtId="0" fontId="30" fillId="0" borderId="0" xfId="0" applyFont="1" applyAlignment="1" applyProtection="1">
      <alignment horizontal="right"/>
    </xf>
    <xf numFmtId="9" fontId="0" fillId="0" borderId="0" xfId="0" applyNumberFormat="1" applyProtection="1"/>
    <xf numFmtId="9" fontId="0" fillId="2" borderId="4" xfId="1" applyFont="1" applyFill="1" applyBorder="1" applyProtection="1"/>
    <xf numFmtId="2" fontId="14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left" vertical="center"/>
    </xf>
    <xf numFmtId="9" fontId="48" fillId="5" borderId="0" xfId="1" applyFont="1" applyFill="1" applyProtection="1"/>
    <xf numFmtId="2" fontId="18" fillId="4" borderId="1" xfId="0" applyNumberFormat="1" applyFont="1" applyFill="1" applyBorder="1" applyAlignment="1" applyProtection="1">
      <alignment horizontal="center"/>
    </xf>
    <xf numFmtId="167" fontId="48" fillId="5" borderId="0" xfId="1" applyNumberFormat="1" applyFont="1" applyFill="1" applyProtection="1"/>
    <xf numFmtId="0" fontId="48" fillId="5" borderId="0" xfId="0" applyFont="1" applyFill="1" applyAlignment="1" applyProtection="1">
      <alignment horizontal="center"/>
    </xf>
    <xf numFmtId="0" fontId="30" fillId="0" borderId="2" xfId="0" applyFont="1" applyBorder="1" applyAlignment="1" applyProtection="1">
      <alignment vertical="top"/>
    </xf>
    <xf numFmtId="179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0" borderId="0" xfId="0" applyNumberFormat="1" applyProtection="1">
      <protection hidden="1"/>
    </xf>
    <xf numFmtId="0" fontId="0" fillId="0" borderId="0" xfId="0" applyAlignment="1"/>
    <xf numFmtId="0" fontId="2" fillId="0" borderId="21" xfId="0" applyFont="1" applyBorder="1"/>
    <xf numFmtId="0" fontId="2" fillId="0" borderId="0" xfId="0" applyFont="1"/>
    <xf numFmtId="0" fontId="0" fillId="2" borderId="28" xfId="0" applyFill="1" applyBorder="1" applyProtection="1">
      <protection hidden="1"/>
    </xf>
    <xf numFmtId="0" fontId="0" fillId="2" borderId="5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41" fillId="0" borderId="0" xfId="0" applyFont="1" applyAlignment="1" applyProtection="1">
      <alignment horizontal="left" vertical="top" wrapText="1"/>
      <protection hidden="1"/>
    </xf>
    <xf numFmtId="0" fontId="20" fillId="6" borderId="25" xfId="0" applyFont="1" applyFill="1" applyBorder="1" applyAlignment="1" applyProtection="1">
      <alignment horizontal="left"/>
      <protection hidden="1"/>
    </xf>
    <xf numFmtId="0" fontId="20" fillId="6" borderId="6" xfId="0" applyFont="1" applyFill="1" applyBorder="1" applyAlignment="1" applyProtection="1">
      <alignment horizontal="left"/>
      <protection hidden="1"/>
    </xf>
    <xf numFmtId="0" fontId="20" fillId="6" borderId="26" xfId="0" applyFont="1" applyFill="1" applyBorder="1" applyAlignment="1" applyProtection="1">
      <alignment horizontal="left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24" fillId="2" borderId="4" xfId="0" applyFont="1" applyFill="1" applyBorder="1" applyAlignment="1" applyProtection="1">
      <alignment horizontal="left" vertical="center" wrapText="1"/>
      <protection hidden="1"/>
    </xf>
    <xf numFmtId="2" fontId="23" fillId="4" borderId="23" xfId="0" applyNumberFormat="1" applyFont="1" applyFill="1" applyBorder="1" applyAlignment="1" applyProtection="1">
      <alignment horizontal="left" vertical="center"/>
      <protection hidden="1"/>
    </xf>
    <xf numFmtId="2" fontId="23" fillId="4" borderId="22" xfId="0" applyNumberFormat="1" applyFont="1" applyFill="1" applyBorder="1" applyAlignment="1" applyProtection="1">
      <alignment horizontal="left" vertical="center"/>
      <protection hidden="1"/>
    </xf>
    <xf numFmtId="2" fontId="23" fillId="4" borderId="24" xfId="0" applyNumberFormat="1" applyFont="1" applyFill="1" applyBorder="1" applyAlignment="1" applyProtection="1">
      <alignment horizontal="left" vertical="center"/>
      <protection hidden="1"/>
    </xf>
    <xf numFmtId="2" fontId="23" fillId="7" borderId="23" xfId="0" applyNumberFormat="1" applyFont="1" applyFill="1" applyBorder="1" applyAlignment="1" applyProtection="1">
      <alignment horizontal="left"/>
      <protection hidden="1"/>
    </xf>
    <xf numFmtId="2" fontId="23" fillId="7" borderId="22" xfId="0" applyNumberFormat="1" applyFont="1" applyFill="1" applyBorder="1" applyAlignment="1" applyProtection="1">
      <alignment horizontal="left"/>
      <protection hidden="1"/>
    </xf>
    <xf numFmtId="2" fontId="23" fillId="7" borderId="24" xfId="0" applyNumberFormat="1" applyFont="1" applyFill="1" applyBorder="1" applyAlignment="1" applyProtection="1">
      <alignment horizontal="left"/>
      <protection hidden="1"/>
    </xf>
    <xf numFmtId="0" fontId="34" fillId="0" borderId="27" xfId="0" applyFont="1" applyBorder="1" applyAlignment="1" applyProtection="1">
      <alignment horizontal="left" vertical="center"/>
      <protection hidden="1"/>
    </xf>
    <xf numFmtId="0" fontId="38" fillId="6" borderId="25" xfId="0" applyFont="1" applyFill="1" applyBorder="1" applyAlignment="1" applyProtection="1">
      <alignment horizontal="left"/>
      <protection hidden="1"/>
    </xf>
    <xf numFmtId="0" fontId="38" fillId="6" borderId="6" xfId="0" applyFont="1" applyFill="1" applyBorder="1" applyAlignment="1" applyProtection="1">
      <alignment horizontal="left"/>
      <protection hidden="1"/>
    </xf>
    <xf numFmtId="0" fontId="38" fillId="6" borderId="26" xfId="0" applyFont="1" applyFill="1" applyBorder="1" applyAlignment="1" applyProtection="1">
      <alignment horizontal="left"/>
      <protection hidden="1"/>
    </xf>
    <xf numFmtId="0" fontId="39" fillId="6" borderId="25" xfId="0" applyFont="1" applyFill="1" applyBorder="1" applyAlignment="1" applyProtection="1">
      <alignment horizontal="left"/>
      <protection hidden="1"/>
    </xf>
    <xf numFmtId="0" fontId="39" fillId="6" borderId="6" xfId="0" applyFont="1" applyFill="1" applyBorder="1" applyAlignment="1" applyProtection="1">
      <alignment horizontal="left"/>
      <protection hidden="1"/>
    </xf>
    <xf numFmtId="0" fontId="39" fillId="6" borderId="26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31" fillId="19" borderId="0" xfId="0" applyFont="1" applyFill="1" applyAlignment="1" applyProtection="1">
      <alignment horizontal="center" textRotation="255"/>
      <protection hidden="1"/>
    </xf>
    <xf numFmtId="0" fontId="56" fillId="0" borderId="35" xfId="0" applyFont="1" applyBorder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56" fillId="0" borderId="38" xfId="0" applyFont="1" applyBorder="1" applyAlignment="1" applyProtection="1">
      <alignment horizontal="center" vertical="center" wrapText="1"/>
      <protection hidden="1"/>
    </xf>
    <xf numFmtId="0" fontId="56" fillId="0" borderId="39" xfId="0" applyFont="1" applyBorder="1" applyAlignment="1" applyProtection="1">
      <alignment horizontal="center" vertical="center" wrapText="1"/>
      <protection hidden="1"/>
    </xf>
    <xf numFmtId="171" fontId="24" fillId="2" borderId="4" xfId="0" applyNumberFormat="1" applyFont="1" applyFill="1" applyBorder="1" applyAlignment="1" applyProtection="1">
      <alignment horizontal="center" vertical="center" wrapText="1"/>
      <protection locked="0"/>
    </xf>
    <xf numFmtId="171" fontId="24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168" fontId="46" fillId="0" borderId="0" xfId="0" applyNumberFormat="1" applyFont="1" applyAlignment="1" applyProtection="1">
      <alignment horizontal="left" vertical="center"/>
      <protection hidden="1"/>
    </xf>
    <xf numFmtId="168" fontId="46" fillId="0" borderId="36" xfId="0" applyNumberFormat="1" applyFont="1" applyBorder="1" applyAlignment="1" applyProtection="1">
      <alignment horizontal="left" vertical="center"/>
      <protection hidden="1"/>
    </xf>
    <xf numFmtId="0" fontId="14" fillId="3" borderId="35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36" xfId="0" applyFont="1" applyFill="1" applyBorder="1" applyAlignment="1" applyProtection="1">
      <alignment horizontal="center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37" xfId="0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40" xfId="0" applyFont="1" applyBorder="1" applyAlignment="1" applyProtection="1">
      <alignment horizontal="left" vertical="center" wrapText="1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56" fillId="0" borderId="35" xfId="0" applyFont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56" fillId="0" borderId="41" xfId="0" applyFont="1" applyBorder="1" applyAlignment="1" applyProtection="1">
      <alignment horizontal="center" vertical="center" wrapText="1"/>
      <protection hidden="1"/>
    </xf>
    <xf numFmtId="0" fontId="56" fillId="0" borderId="42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9" fontId="24" fillId="2" borderId="4" xfId="1" applyFont="1" applyFill="1" applyBorder="1" applyAlignment="1" applyProtection="1">
      <alignment horizontal="center" vertical="center" wrapText="1"/>
      <protection locked="0"/>
    </xf>
    <xf numFmtId="9" fontId="24" fillId="2" borderId="37" xfId="1" applyFont="1" applyFill="1" applyBorder="1" applyAlignment="1" applyProtection="1">
      <alignment horizontal="center" vertical="center" wrapText="1"/>
      <protection locked="0"/>
    </xf>
    <xf numFmtId="2" fontId="45" fillId="0" borderId="35" xfId="0" applyNumberFormat="1" applyFont="1" applyBorder="1" applyAlignment="1" applyProtection="1">
      <alignment horizontal="left"/>
      <protection hidden="1"/>
    </xf>
    <xf numFmtId="2" fontId="45" fillId="0" borderId="0" xfId="0" applyNumberFormat="1" applyFont="1" applyAlignment="1" applyProtection="1">
      <alignment horizontal="left"/>
      <protection hidden="1"/>
    </xf>
    <xf numFmtId="2" fontId="45" fillId="0" borderId="36" xfId="0" applyNumberFormat="1" applyFont="1" applyBorder="1" applyAlignment="1" applyProtection="1">
      <alignment horizontal="left"/>
      <protection hidden="1"/>
    </xf>
    <xf numFmtId="0" fontId="56" fillId="0" borderId="35" xfId="0" applyFont="1" applyBorder="1" applyAlignment="1" applyProtection="1">
      <alignment horizontal="left"/>
      <protection hidden="1"/>
    </xf>
    <xf numFmtId="0" fontId="56" fillId="0" borderId="0" xfId="0" applyFont="1" applyAlignment="1" applyProtection="1">
      <alignment horizontal="left"/>
      <protection hidden="1"/>
    </xf>
    <xf numFmtId="0" fontId="56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2" fontId="57" fillId="4" borderId="45" xfId="0" applyNumberFormat="1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left"/>
      <protection hidden="1"/>
    </xf>
    <xf numFmtId="2" fontId="4" fillId="0" borderId="36" xfId="0" applyNumberFormat="1" applyFont="1" applyBorder="1" applyAlignment="1" applyProtection="1">
      <alignment horizontal="left"/>
      <protection hidden="1"/>
    </xf>
    <xf numFmtId="2" fontId="4" fillId="0" borderId="35" xfId="0" applyNumberFormat="1" applyFont="1" applyBorder="1" applyAlignment="1" applyProtection="1">
      <alignment horizontal="left"/>
      <protection hidden="1"/>
    </xf>
    <xf numFmtId="2" fontId="24" fillId="0" borderId="35" xfId="0" applyNumberFormat="1" applyFont="1" applyBorder="1" applyAlignment="1" applyProtection="1">
      <alignment horizontal="left"/>
      <protection hidden="1"/>
    </xf>
    <xf numFmtId="2" fontId="24" fillId="0" borderId="0" xfId="0" applyNumberFormat="1" applyFont="1" applyAlignment="1" applyProtection="1">
      <alignment horizontal="left"/>
      <protection hidden="1"/>
    </xf>
    <xf numFmtId="2" fontId="24" fillId="0" borderId="36" xfId="0" applyNumberFormat="1" applyFont="1" applyBorder="1" applyAlignment="1" applyProtection="1">
      <alignment horizontal="left"/>
      <protection hidden="1"/>
    </xf>
    <xf numFmtId="2" fontId="4" fillId="0" borderId="0" xfId="0" applyNumberFormat="1" applyFont="1" applyBorder="1" applyAlignment="1" applyProtection="1">
      <alignment horizontal="left"/>
      <protection hidden="1"/>
    </xf>
    <xf numFmtId="2" fontId="42" fillId="0" borderId="35" xfId="0" applyNumberFormat="1" applyFont="1" applyBorder="1" applyProtection="1">
      <protection hidden="1"/>
    </xf>
    <xf numFmtId="2" fontId="42" fillId="0" borderId="0" xfId="0" applyNumberFormat="1" applyFont="1" applyProtection="1">
      <protection hidden="1"/>
    </xf>
    <xf numFmtId="2" fontId="42" fillId="0" borderId="36" xfId="0" applyNumberFormat="1" applyFont="1" applyBorder="1" applyProtection="1"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2" fontId="58" fillId="0" borderId="35" xfId="0" applyNumberFormat="1" applyFont="1" applyBorder="1" applyAlignment="1" applyProtection="1">
      <alignment horizontal="center" vertical="center"/>
      <protection hidden="1"/>
    </xf>
    <xf numFmtId="2" fontId="58" fillId="0" borderId="0" xfId="0" applyNumberFormat="1" applyFont="1" applyAlignment="1" applyProtection="1">
      <alignment horizontal="center" vertical="center"/>
      <protection hidden="1"/>
    </xf>
    <xf numFmtId="2" fontId="58" fillId="0" borderId="46" xfId="0" applyNumberFormat="1" applyFont="1" applyBorder="1" applyAlignment="1" applyProtection="1">
      <alignment horizontal="center" vertical="center"/>
      <protection hidden="1"/>
    </xf>
    <xf numFmtId="2" fontId="58" fillId="0" borderId="3" xfId="0" applyNumberFormat="1" applyFont="1" applyBorder="1" applyAlignment="1" applyProtection="1">
      <alignment horizontal="center" vertical="center"/>
      <protection hidden="1"/>
    </xf>
    <xf numFmtId="171" fontId="57" fillId="4" borderId="0" xfId="0" applyNumberFormat="1" applyFont="1" applyFill="1" applyAlignment="1" applyProtection="1">
      <alignment horizontal="center" vertical="center"/>
      <protection hidden="1"/>
    </xf>
    <xf numFmtId="171" fontId="57" fillId="4" borderId="36" xfId="0" applyNumberFormat="1" applyFont="1" applyFill="1" applyBorder="1" applyAlignment="1" applyProtection="1">
      <alignment horizontal="center" vertical="center"/>
      <protection hidden="1"/>
    </xf>
    <xf numFmtId="171" fontId="57" fillId="4" borderId="3" xfId="0" applyNumberFormat="1" applyFont="1" applyFill="1" applyBorder="1" applyAlignment="1" applyProtection="1">
      <alignment horizontal="center" vertical="center"/>
      <protection hidden="1"/>
    </xf>
    <xf numFmtId="171" fontId="57" fillId="4" borderId="47" xfId="0" applyNumberFormat="1" applyFont="1" applyFill="1" applyBorder="1" applyAlignment="1" applyProtection="1">
      <alignment horizontal="center" vertical="center"/>
      <protection hidden="1"/>
    </xf>
    <xf numFmtId="2" fontId="45" fillId="0" borderId="0" xfId="0" applyNumberFormat="1" applyFont="1" applyProtection="1">
      <protection hidden="1"/>
    </xf>
    <xf numFmtId="2" fontId="45" fillId="0" borderId="36" xfId="0" applyNumberFormat="1" applyFont="1" applyBorder="1" applyProtection="1">
      <protection hidden="1"/>
    </xf>
    <xf numFmtId="2" fontId="57" fillId="4" borderId="21" xfId="0" applyNumberFormat="1" applyFont="1" applyFill="1" applyBorder="1" applyAlignment="1" applyProtection="1">
      <alignment horizontal="center" vertical="center"/>
      <protection hidden="1"/>
    </xf>
    <xf numFmtId="2" fontId="42" fillId="0" borderId="0" xfId="0" applyNumberFormat="1" applyFont="1" applyAlignment="1" applyProtection="1">
      <alignment horizontal="left"/>
      <protection hidden="1"/>
    </xf>
    <xf numFmtId="2" fontId="42" fillId="0" borderId="36" xfId="0" applyNumberFormat="1" applyFont="1" applyBorder="1" applyAlignment="1" applyProtection="1">
      <alignment horizontal="left"/>
      <protection hidden="1"/>
    </xf>
    <xf numFmtId="2" fontId="42" fillId="0" borderId="35" xfId="0" applyNumberFormat="1" applyFont="1" applyBorder="1" applyAlignment="1" applyProtection="1">
      <alignment horizontal="left"/>
      <protection hidden="1"/>
    </xf>
    <xf numFmtId="2" fontId="45" fillId="0" borderId="50" xfId="0" applyNumberFormat="1" applyFont="1" applyBorder="1" applyProtection="1">
      <protection hidden="1"/>
    </xf>
    <xf numFmtId="2" fontId="45" fillId="0" borderId="51" xfId="0" applyNumberFormat="1" applyFont="1" applyBorder="1" applyProtection="1">
      <protection hidden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30" fillId="0" borderId="2" xfId="0" applyFont="1" applyBorder="1" applyAlignment="1">
      <alignment horizontal="left" vertical="top"/>
    </xf>
    <xf numFmtId="0" fontId="14" fillId="0" borderId="0" xfId="0" applyFont="1" applyAlignment="1">
      <alignment horizontal="righ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 vertical="top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3" fillId="0" borderId="3" xfId="0" applyFont="1" applyBorder="1" applyAlignment="1">
      <alignment horizontal="left"/>
    </xf>
    <xf numFmtId="0" fontId="30" fillId="0" borderId="0" xfId="0" applyFont="1" applyAlignment="1" applyProtection="1">
      <alignment horizontal="right"/>
      <protection hidden="1"/>
    </xf>
    <xf numFmtId="0" fontId="18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3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9" fillId="0" borderId="0" xfId="0" applyFont="1" applyAlignment="1">
      <alignment horizontal="center" wrapText="1"/>
    </xf>
    <xf numFmtId="0" fontId="23" fillId="2" borderId="16" xfId="0" applyFont="1" applyFill="1" applyBorder="1" applyAlignment="1" applyProtection="1">
      <alignment horizontal="center" vertical="center"/>
      <protection hidden="1"/>
    </xf>
    <xf numFmtId="0" fontId="23" fillId="2" borderId="8" xfId="0" applyFont="1" applyFill="1" applyBorder="1" applyAlignment="1" applyProtection="1">
      <alignment horizontal="center" vertical="center"/>
      <protection hidden="1"/>
    </xf>
    <xf numFmtId="0" fontId="23" fillId="2" borderId="17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horizontal="left" vertical="top" wrapText="1"/>
      <protection hidden="1"/>
    </xf>
    <xf numFmtId="0" fontId="14" fillId="5" borderId="0" xfId="0" applyFont="1" applyFill="1" applyAlignment="1" applyProtection="1">
      <alignment horizontal="right" vertical="center"/>
      <protection hidden="1"/>
    </xf>
    <xf numFmtId="0" fontId="69" fillId="5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21" fillId="0" borderId="4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24" fillId="2" borderId="6" xfId="0" applyFont="1" applyFill="1" applyBorder="1" applyAlignment="1" applyProtection="1">
      <alignment horizontal="left" vertical="center" wrapText="1"/>
      <protection hidden="1"/>
    </xf>
    <xf numFmtId="0" fontId="14" fillId="3" borderId="57" xfId="0" applyFont="1" applyFill="1" applyBorder="1" applyAlignment="1">
      <alignment horizontal="left"/>
    </xf>
    <xf numFmtId="0" fontId="14" fillId="3" borderId="57" xfId="0" applyFont="1" applyFill="1" applyBorder="1" applyAlignment="1">
      <alignment horizontal="left" wrapText="1"/>
    </xf>
  </cellXfs>
  <cellStyles count="7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Millares" xfId="6" builtinId="3"/>
    <cellStyle name="Normal" xfId="0" builtinId="0"/>
    <cellStyle name="Porcentaje" xfId="1" builtinId="5"/>
  </cellStyles>
  <dxfs count="43"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rgb="FFD6D6D6"/>
        </left>
        <right style="thin">
          <color rgb="FFD6D6D6"/>
        </right>
        <top style="thin">
          <color rgb="FFD6D6D6"/>
        </top>
        <bottom style="thin">
          <color rgb="FFD6D6D6"/>
        </bottom>
      </border>
    </dxf>
    <dxf>
      <font>
        <strike val="0"/>
        <color theme="0" tint="-0.1499679555650502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rgb="FFD6D6D6"/>
        </left>
        <right style="thin">
          <color rgb="FFD6D6D6"/>
        </right>
        <top style="thin">
          <color rgb="FFD6D6D6"/>
        </top>
        <bottom style="thin">
          <color rgb="FFD6D6D6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theme="4"/>
      </font>
      <fill>
        <patternFill>
          <bgColor rgb="FFEBEBEB"/>
        </patternFill>
      </fill>
    </dxf>
    <dxf>
      <font>
        <b/>
        <i val="0"/>
        <color rgb="FFC00000"/>
      </font>
      <fill>
        <patternFill>
          <bgColor rgb="FFEBEBEB"/>
        </patternFill>
      </fill>
    </dxf>
    <dxf>
      <font>
        <b/>
        <i val="0"/>
        <color theme="4"/>
      </font>
      <fill>
        <patternFill>
          <bgColor rgb="FFEBEBEB"/>
        </patternFill>
      </fill>
    </dxf>
    <dxf>
      <font>
        <b/>
        <i val="0"/>
        <color rgb="FFC00000"/>
      </font>
      <fill>
        <patternFill>
          <bgColor rgb="FFEBEBEB"/>
        </patternFill>
      </fill>
    </dxf>
    <dxf>
      <font>
        <b/>
        <i val="0"/>
        <color theme="4"/>
      </font>
      <fill>
        <patternFill>
          <bgColor rgb="FFEBEBEB"/>
        </patternFill>
      </fill>
    </dxf>
    <dxf>
      <font>
        <b/>
        <i val="0"/>
        <color rgb="FFC00000"/>
      </font>
      <fill>
        <patternFill>
          <bgColor rgb="FFEBEBEB"/>
        </patternFill>
      </fill>
    </dxf>
    <dxf>
      <font>
        <b/>
        <i val="0"/>
        <color theme="4"/>
      </font>
      <fill>
        <patternFill>
          <bgColor rgb="FFEBEBEB"/>
        </patternFill>
      </fill>
    </dxf>
    <dxf>
      <font>
        <b/>
        <i val="0"/>
        <color rgb="FFC00000"/>
      </font>
      <fill>
        <patternFill>
          <bgColor rgb="FFEBEBEB"/>
        </patternFill>
      </fill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rgb="FFD6D6D6"/>
        </left>
        <right style="thin">
          <color rgb="FFD6D6D6"/>
        </right>
        <top style="thin">
          <color rgb="FFD6D6D6"/>
        </top>
        <bottom style="thin">
          <color rgb="FFD6D6D6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color rgb="FF407DD6"/>
      </font>
      <fill>
        <patternFill>
          <bgColor rgb="FFEBEBEB"/>
        </patternFill>
      </fill>
      <border>
        <left style="thin">
          <color rgb="FFD6D6D6"/>
        </left>
        <right style="thin">
          <color rgb="FFD6D6D6"/>
        </right>
        <top style="thin">
          <color rgb="FFD6D6D6"/>
        </top>
        <bottom style="thin">
          <color rgb="FFD6D6D6"/>
        </bottom>
      </border>
    </dxf>
    <dxf>
      <font>
        <b/>
        <i val="0"/>
        <color rgb="FFC00000"/>
      </font>
      <fill>
        <patternFill>
          <bgColor rgb="FFEBEBEB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color theme="0"/>
      </font>
    </dxf>
    <dxf>
      <font>
        <strike val="0"/>
        <color rgb="FFC00000"/>
      </font>
    </dxf>
  </dxfs>
  <tableStyles count="0" defaultTableStyle="TableStyleMedium9" defaultPivotStyle="PivotStyleMedium7"/>
  <colors>
    <mruColors>
      <color rgb="FF407DD6"/>
      <color rgb="FF76D5D6"/>
      <color rgb="FFA8D200"/>
      <color rgb="FF00FF00"/>
      <color rgb="FF006666"/>
      <color rgb="FFA7FEFF"/>
      <color rgb="FFEBEBEB"/>
      <color rgb="FFD6D6D6"/>
      <color rgb="FFD5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173182</xdr:colOff>
      <xdr:row>0</xdr:row>
      <xdr:rowOff>112569</xdr:rowOff>
    </xdr:from>
    <xdr:to>
      <xdr:col>12</xdr:col>
      <xdr:colOff>331019</xdr:colOff>
      <xdr:row>1</xdr:row>
      <xdr:rowOff>176264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5909" y="112569"/>
          <a:ext cx="1993565" cy="3840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391584</xdr:colOff>
      <xdr:row>0</xdr:row>
      <xdr:rowOff>116416</xdr:rowOff>
    </xdr:from>
    <xdr:to>
      <xdr:col>14</xdr:col>
      <xdr:colOff>670649</xdr:colOff>
      <xdr:row>1</xdr:row>
      <xdr:rowOff>172414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1" y="116416"/>
          <a:ext cx="1993565" cy="384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136071</xdr:colOff>
      <xdr:row>0</xdr:row>
      <xdr:rowOff>54428</xdr:rowOff>
    </xdr:from>
    <xdr:to>
      <xdr:col>13</xdr:col>
      <xdr:colOff>93529</xdr:colOff>
      <xdr:row>25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2C0C37-DF6E-4FA6-BEC4-1247322EC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4428"/>
          <a:ext cx="6053458" cy="496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0</xdr:rowOff>
    </xdr:from>
    <xdr:to>
      <xdr:col>12</xdr:col>
      <xdr:colOff>409575</xdr:colOff>
      <xdr:row>4</xdr:row>
      <xdr:rowOff>30985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F54832-69C3-47A2-93F7-0568014DF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39303" cy="69773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0</xdr:row>
      <xdr:rowOff>133350</xdr:rowOff>
    </xdr:from>
    <xdr:to>
      <xdr:col>14</xdr:col>
      <xdr:colOff>745790</xdr:colOff>
      <xdr:row>2</xdr:row>
      <xdr:rowOff>3081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133350"/>
          <a:ext cx="1993565" cy="384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114300</xdr:rowOff>
    </xdr:from>
    <xdr:to>
      <xdr:col>12</xdr:col>
      <xdr:colOff>736265</xdr:colOff>
      <xdr:row>1</xdr:row>
      <xdr:rowOff>174531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114300"/>
          <a:ext cx="1993565" cy="384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123825</xdr:rowOff>
    </xdr:from>
    <xdr:to>
      <xdr:col>12</xdr:col>
      <xdr:colOff>583865</xdr:colOff>
      <xdr:row>1</xdr:row>
      <xdr:rowOff>184056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50" y="123825"/>
          <a:ext cx="1993565" cy="384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85725</xdr:rowOff>
    </xdr:from>
    <xdr:to>
      <xdr:col>14</xdr:col>
      <xdr:colOff>92584</xdr:colOff>
      <xdr:row>1</xdr:row>
      <xdr:rowOff>147075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6" t="17474" r="6954" b="18869"/>
        <a:stretch/>
      </xdr:blipFill>
      <xdr:spPr>
        <a:xfrm>
          <a:off x="5067300" y="85725"/>
          <a:ext cx="2016634" cy="385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0</xdr:row>
      <xdr:rowOff>104775</xdr:rowOff>
    </xdr:from>
    <xdr:to>
      <xdr:col>13</xdr:col>
      <xdr:colOff>1374440</xdr:colOff>
      <xdr:row>1</xdr:row>
      <xdr:rowOff>165006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104775"/>
          <a:ext cx="1993565" cy="384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390524</xdr:colOff>
      <xdr:row>0</xdr:row>
      <xdr:rowOff>85724</xdr:rowOff>
    </xdr:from>
    <xdr:to>
      <xdr:col>13</xdr:col>
      <xdr:colOff>1251449</xdr:colOff>
      <xdr:row>1</xdr:row>
      <xdr:rowOff>146116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49" y="85724"/>
          <a:ext cx="1994400" cy="3842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38100</xdr:rowOff>
    </xdr:from>
    <xdr:to>
      <xdr:col>12</xdr:col>
      <xdr:colOff>679115</xdr:colOff>
      <xdr:row>2</xdr:row>
      <xdr:rowOff>3081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8100"/>
          <a:ext cx="1993565" cy="384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466724</xdr:colOff>
      <xdr:row>0</xdr:row>
      <xdr:rowOff>104773</xdr:rowOff>
    </xdr:from>
    <xdr:to>
      <xdr:col>12</xdr:col>
      <xdr:colOff>819150</xdr:colOff>
      <xdr:row>1</xdr:row>
      <xdr:rowOff>167847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4" y="104773"/>
          <a:ext cx="1990726" cy="386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bak/0.b.RES.%20No%20AA.v.0.982.un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/>
  </sheetPr>
  <dimension ref="A1:AF38"/>
  <sheetViews>
    <sheetView showGridLines="0" showRowColHeaders="0" zoomScale="110" zoomScaleNormal="110" zoomScaleSheetLayoutView="93" zoomScalePageLayoutView="198" workbookViewId="0">
      <selection activeCell="AH15" sqref="AH15"/>
    </sheetView>
  </sheetViews>
  <sheetFormatPr baseColWidth="10" defaultColWidth="10.33203125" defaultRowHeight="15"/>
  <cols>
    <col min="1" max="1" width="13.33203125" style="38" customWidth="1"/>
    <col min="2" max="2" width="2.5546875" style="38" customWidth="1"/>
    <col min="3" max="3" width="10.44140625" style="38" customWidth="1"/>
    <col min="4" max="4" width="5.21875" style="38" customWidth="1"/>
    <col min="5" max="5" width="7" style="38" customWidth="1"/>
    <col min="6" max="6" width="4.5546875" style="38" customWidth="1"/>
    <col min="7" max="7" width="7.109375" style="38" customWidth="1"/>
    <col min="8" max="8" width="2.44140625" style="38" customWidth="1"/>
    <col min="9" max="9" width="6.6640625" style="38" customWidth="1"/>
    <col min="10" max="10" width="2.5546875" style="38" customWidth="1"/>
    <col min="11" max="11" width="8" style="38" customWidth="1"/>
    <col min="12" max="12" width="4.21875" style="38" customWidth="1"/>
    <col min="13" max="13" width="7.5546875" style="38" customWidth="1"/>
    <col min="14" max="23" width="8.44140625" style="334" hidden="1" customWidth="1"/>
    <col min="24" max="32" width="8.44140625" style="38" hidden="1" customWidth="1"/>
    <col min="33" max="49" width="8.44140625" style="38" customWidth="1"/>
    <col min="50" max="16384" width="10.33203125" style="38"/>
  </cols>
  <sheetData>
    <row r="1" spans="1:29" ht="26.1" customHeight="1">
      <c r="A1" s="163" t="s">
        <v>141</v>
      </c>
      <c r="B1" s="163"/>
      <c r="C1" s="164"/>
      <c r="D1" s="164"/>
      <c r="E1" s="164"/>
      <c r="F1" s="164"/>
      <c r="G1" s="165"/>
    </row>
    <row r="2" spans="1:29">
      <c r="A2" s="146" t="s">
        <v>427</v>
      </c>
      <c r="F2" s="436"/>
      <c r="G2" s="436"/>
      <c r="H2" s="436"/>
      <c r="I2" s="436"/>
      <c r="J2" s="436"/>
      <c r="K2" s="436"/>
    </row>
    <row r="3" spans="1:29">
      <c r="A3" s="148" t="s">
        <v>428</v>
      </c>
      <c r="B3" s="148"/>
    </row>
    <row r="4" spans="1:29">
      <c r="AA4" s="38">
        <v>1</v>
      </c>
    </row>
    <row r="5" spans="1:29" ht="15.75">
      <c r="A5" s="39" t="s">
        <v>142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AC5" s="38">
        <f>camino2</f>
        <v>0</v>
      </c>
    </row>
    <row r="6" spans="1:29" ht="6.95" customHeight="1"/>
    <row r="7" spans="1:29" ht="15.95" customHeight="1">
      <c r="A7" s="441" t="s">
        <v>143</v>
      </c>
      <c r="B7" s="441"/>
      <c r="C7" s="441"/>
      <c r="D7" s="442" t="s">
        <v>169</v>
      </c>
      <c r="E7" s="442"/>
      <c r="F7" s="442"/>
      <c r="G7" s="442"/>
      <c r="H7" s="442"/>
      <c r="I7" s="442"/>
      <c r="J7" s="442"/>
      <c r="K7" s="442"/>
      <c r="L7" s="442"/>
      <c r="M7" s="442"/>
    </row>
    <row r="8" spans="1:29" ht="6" customHeight="1">
      <c r="A8" s="327"/>
      <c r="B8" s="327"/>
      <c r="C8" s="327"/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1:29">
      <c r="A9" s="288" t="s">
        <v>148</v>
      </c>
      <c r="B9" s="172"/>
      <c r="D9" s="328"/>
      <c r="E9" s="153" t="s">
        <v>149</v>
      </c>
      <c r="F9" s="180"/>
      <c r="G9" s="153"/>
      <c r="H9" s="153"/>
      <c r="I9" s="153"/>
      <c r="Q9" s="334">
        <v>7</v>
      </c>
    </row>
    <row r="10" spans="1:29" ht="6" customHeight="1">
      <c r="A10" s="327"/>
      <c r="B10" s="327"/>
      <c r="C10" s="327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29" ht="15.95" customHeight="1">
      <c r="A11" s="441" t="s">
        <v>145</v>
      </c>
      <c r="B11" s="441"/>
      <c r="C11" s="441"/>
      <c r="D11" s="443" t="s">
        <v>144</v>
      </c>
      <c r="E11" s="444"/>
      <c r="F11" s="444"/>
      <c r="G11" s="444"/>
      <c r="H11" s="444"/>
      <c r="I11" s="444"/>
      <c r="J11" s="444"/>
      <c r="K11" s="444"/>
      <c r="L11" s="444"/>
      <c r="M11" s="445"/>
    </row>
    <row r="12" spans="1:29" ht="6" customHeight="1">
      <c r="A12" s="327"/>
      <c r="B12" s="327"/>
      <c r="C12" s="327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29" ht="15.95" customHeight="1">
      <c r="A13" s="441" t="s">
        <v>147</v>
      </c>
      <c r="B13" s="441"/>
      <c r="C13" s="441"/>
      <c r="D13" s="446" t="s">
        <v>146</v>
      </c>
      <c r="E13" s="447"/>
      <c r="F13" s="447"/>
      <c r="G13" s="447"/>
      <c r="H13" s="447"/>
      <c r="I13" s="447"/>
      <c r="J13" s="447"/>
      <c r="K13" s="447"/>
      <c r="L13" s="447"/>
      <c r="M13" s="448"/>
    </row>
    <row r="14" spans="1:29" ht="6" customHeight="1">
      <c r="A14" s="327"/>
      <c r="B14" s="327"/>
      <c r="C14" s="327"/>
      <c r="D14" s="329"/>
      <c r="E14" s="329"/>
      <c r="F14" s="329"/>
      <c r="G14" s="329"/>
      <c r="H14" s="329"/>
      <c r="I14" s="329"/>
      <c r="J14" s="329"/>
      <c r="K14" s="329"/>
      <c r="L14" s="329"/>
      <c r="M14" s="329"/>
    </row>
    <row r="15" spans="1:29">
      <c r="A15" s="441" t="s">
        <v>151</v>
      </c>
      <c r="B15" s="441"/>
      <c r="C15" s="449"/>
      <c r="D15" s="438" t="s">
        <v>152</v>
      </c>
      <c r="E15" s="439"/>
      <c r="F15" s="439"/>
      <c r="G15" s="439"/>
      <c r="H15" s="439"/>
      <c r="I15" s="439"/>
      <c r="J15" s="439"/>
      <c r="K15" s="439"/>
      <c r="L15" s="439"/>
      <c r="M15" s="440"/>
    </row>
    <row r="16" spans="1:29" ht="6" customHeight="1">
      <c r="A16" s="327"/>
      <c r="B16" s="327"/>
      <c r="C16" s="330"/>
      <c r="D16" s="199"/>
      <c r="E16" s="199"/>
      <c r="F16" s="199"/>
      <c r="G16" s="199"/>
      <c r="H16" s="199"/>
      <c r="I16" s="199"/>
      <c r="J16" s="199"/>
      <c r="K16" s="199"/>
      <c r="L16" s="199"/>
      <c r="M16" s="199"/>
    </row>
    <row r="17" spans="1:17" ht="15.95" customHeight="1">
      <c r="A17" s="441" t="s">
        <v>154</v>
      </c>
      <c r="B17" s="441"/>
      <c r="C17" s="449"/>
      <c r="D17" s="450" t="s">
        <v>153</v>
      </c>
      <c r="E17" s="451"/>
      <c r="F17" s="451"/>
      <c r="G17" s="451"/>
      <c r="H17" s="451"/>
      <c r="I17" s="451"/>
      <c r="J17" s="451"/>
      <c r="K17" s="451"/>
      <c r="L17" s="451"/>
      <c r="M17" s="452"/>
      <c r="Q17" s="334">
        <v>6</v>
      </c>
    </row>
    <row r="18" spans="1:17" ht="6" customHeight="1">
      <c r="A18" s="331"/>
      <c r="B18" s="331"/>
      <c r="C18" s="331"/>
    </row>
    <row r="19" spans="1:17" ht="15.95" customHeight="1">
      <c r="A19" s="441" t="s">
        <v>155</v>
      </c>
      <c r="B19" s="441"/>
      <c r="C19" s="449"/>
      <c r="D19" s="453" t="s">
        <v>159</v>
      </c>
      <c r="E19" s="454"/>
      <c r="F19" s="454"/>
      <c r="G19" s="454"/>
      <c r="H19" s="454"/>
      <c r="I19" s="454"/>
      <c r="J19" s="454"/>
      <c r="K19" s="454"/>
      <c r="L19" s="454"/>
      <c r="M19" s="455"/>
      <c r="Q19" s="334">
        <v>8</v>
      </c>
    </row>
    <row r="20" spans="1:17" ht="6.95" customHeight="1">
      <c r="A20" s="85"/>
      <c r="B20" s="85"/>
      <c r="C20" s="85"/>
    </row>
    <row r="22" spans="1:17" ht="15.75">
      <c r="A22" s="39" t="s">
        <v>156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7" ht="15.75" thickBot="1"/>
    <row r="24" spans="1:17" ht="16.5" thickTop="1">
      <c r="A24" s="80" t="s">
        <v>405</v>
      </c>
      <c r="D24" s="433" t="s">
        <v>157</v>
      </c>
      <c r="E24" s="433"/>
      <c r="F24" s="433"/>
      <c r="G24" s="38" t="s">
        <v>406</v>
      </c>
    </row>
    <row r="25" spans="1:17" ht="15.75">
      <c r="A25" s="38" t="s">
        <v>407</v>
      </c>
    </row>
    <row r="26" spans="1:17" ht="15.75" thickBot="1">
      <c r="A26" s="38" t="s">
        <v>408</v>
      </c>
    </row>
    <row r="27" spans="1:17" ht="16.5" thickTop="1" thickBot="1">
      <c r="A27" s="38" t="s">
        <v>409</v>
      </c>
      <c r="F27" s="434" t="s">
        <v>410</v>
      </c>
      <c r="G27" s="434"/>
      <c r="H27" s="38" t="s">
        <v>411</v>
      </c>
    </row>
    <row r="28" spans="1:17" ht="15" customHeight="1" thickTop="1">
      <c r="A28" s="435" t="s">
        <v>412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4" t="s">
        <v>410</v>
      </c>
      <c r="M28" s="434"/>
    </row>
    <row r="29" spans="1:17">
      <c r="A29" s="435" t="s">
        <v>422</v>
      </c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</row>
    <row r="30" spans="1:17">
      <c r="A30" s="435" t="s">
        <v>415</v>
      </c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</row>
    <row r="31" spans="1:17">
      <c r="A31" s="435" t="s">
        <v>413</v>
      </c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</row>
    <row r="32" spans="1:17">
      <c r="A32" s="435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</row>
    <row r="33" spans="1:13" ht="15.75">
      <c r="A33" s="38" t="s">
        <v>398</v>
      </c>
    </row>
    <row r="34" spans="1:13" ht="15.75">
      <c r="A34" s="38" t="s">
        <v>414</v>
      </c>
    </row>
    <row r="35" spans="1:13">
      <c r="A35" s="206" t="s">
        <v>158</v>
      </c>
    </row>
    <row r="36" spans="1:13">
      <c r="A36" s="206" t="str">
        <f>tipo_eval</f>
        <v>Camino de Cumplimiento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</row>
    <row r="37" spans="1:13">
      <c r="A37" s="437" t="s">
        <v>529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</row>
    <row r="38" spans="1:13">
      <c r="A38" s="437"/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</row>
  </sheetData>
  <sheetProtection algorithmName="SHA-512" hashValue="LK1PQH3vtkEzo3C5lZbJ28EhVRPIRKU8dYld6wxQ+FpZnpOUyQvhCHG++DqZX3UONYfl0Rqo9rUjs4MEMes8hg==" saltValue="L5slYUJCZ/hMm7BDnWLASQ==" spinCount="100000" sheet="1" selectLockedCells="1" selectUnlockedCells="1"/>
  <mergeCells count="21">
    <mergeCell ref="F2:K2"/>
    <mergeCell ref="A37:M38"/>
    <mergeCell ref="A31:M32"/>
    <mergeCell ref="D15:M15"/>
    <mergeCell ref="A7:C7"/>
    <mergeCell ref="D7:M7"/>
    <mergeCell ref="A11:C11"/>
    <mergeCell ref="D11:M11"/>
    <mergeCell ref="A13:C13"/>
    <mergeCell ref="D13:M13"/>
    <mergeCell ref="A17:C17"/>
    <mergeCell ref="A19:C19"/>
    <mergeCell ref="A15:C15"/>
    <mergeCell ref="D17:M17"/>
    <mergeCell ref="D19:M19"/>
    <mergeCell ref="A30:M30"/>
    <mergeCell ref="D24:F24"/>
    <mergeCell ref="F27:G27"/>
    <mergeCell ref="A29:M29"/>
    <mergeCell ref="L28:M28"/>
    <mergeCell ref="A28:K28"/>
  </mergeCells>
  <phoneticPr fontId="15" type="noConversion"/>
  <printOptions horizontalCentered="1"/>
  <pageMargins left="0.25" right="0.25" top="0.75" bottom="0.75" header="0.3" footer="0.3"/>
  <pageSetup orientation="portrait" horizontalDpi="0" verticalDpi="0"/>
  <headerFooter>
    <oddFooter>&amp;L&amp;"Arial (Cuerpo),Normal"&amp;8&amp;K00-049&amp;F&amp;C&amp;"Arial (Cuerpo),Normal"&amp;8&amp;K00-049&amp;A&amp;R&amp;"Arial (Cuerpo),Normal"&amp;8&amp;K00-049Página &amp;P de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B1:AA44"/>
  <sheetViews>
    <sheetView showGridLines="0" showRowColHeaders="0" zoomScaleNormal="100" zoomScaleSheetLayoutView="80" workbookViewId="0">
      <selection activeCell="K13" sqref="K13"/>
    </sheetView>
  </sheetViews>
  <sheetFormatPr baseColWidth="10" defaultColWidth="10.33203125" defaultRowHeight="15"/>
  <cols>
    <col min="1" max="1" width="4.77734375" customWidth="1"/>
    <col min="2" max="2" width="2.6640625" customWidth="1"/>
    <col min="3" max="3" width="23.44140625" customWidth="1"/>
    <col min="4" max="4" width="0.5546875" customWidth="1"/>
    <col min="5" max="5" width="8.77734375" customWidth="1"/>
    <col min="6" max="6" width="0.6640625" customWidth="1"/>
    <col min="7" max="7" width="14.44140625" customWidth="1"/>
    <col min="8" max="8" width="0.6640625" customWidth="1"/>
    <col min="9" max="9" width="7.33203125" customWidth="1"/>
    <col min="10" max="10" width="0.6640625" customWidth="1"/>
    <col min="11" max="11" width="8.77734375" customWidth="1"/>
    <col min="12" max="12" width="0.6640625" customWidth="1"/>
    <col min="13" max="13" width="10" customWidth="1"/>
    <col min="14" max="14" width="8.77734375" customWidth="1"/>
    <col min="15" max="18" width="8.77734375" style="127" hidden="1" customWidth="1"/>
    <col min="19" max="19" width="13" style="127" hidden="1" customWidth="1"/>
    <col min="20" max="20" width="13.21875" style="127" hidden="1" customWidth="1"/>
    <col min="21" max="24" width="8.77734375" style="127" hidden="1" customWidth="1"/>
    <col min="25" max="26" width="8.77734375" style="97" hidden="1" customWidth="1"/>
    <col min="27" max="27" width="8.77734375" style="97" customWidth="1"/>
    <col min="28" max="49" width="8.44140625" customWidth="1"/>
  </cols>
  <sheetData>
    <row r="1" spans="2:24" ht="18">
      <c r="B1" s="143" t="s">
        <v>432</v>
      </c>
      <c r="C1" s="144"/>
      <c r="D1" s="144"/>
      <c r="E1" s="144"/>
      <c r="F1" s="144"/>
      <c r="G1" s="145"/>
      <c r="H1" s="38"/>
      <c r="I1" s="38"/>
      <c r="J1" s="38"/>
      <c r="K1" s="38"/>
      <c r="L1" s="38"/>
      <c r="M1" s="38"/>
      <c r="N1" s="38"/>
    </row>
    <row r="2" spans="2:24">
      <c r="B2" s="146" t="str">
        <f>"Para la evaluación energética: " &amp; tipo_eval</f>
        <v>Para la evaluación energética: Camino de Cumplimiento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27" t="str">
        <f>IF($E11&gt;0,"TRUE","FALSE")</f>
        <v>FALSE</v>
      </c>
    </row>
    <row r="3" spans="2:24">
      <c r="B3" s="14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24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2:24">
      <c r="B5" s="38"/>
      <c r="C5" s="149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5.75">
      <c r="B6" s="38"/>
      <c r="C6" s="150" t="s">
        <v>77</v>
      </c>
      <c r="D6" s="38"/>
      <c r="E6" s="38"/>
      <c r="F6" s="38"/>
      <c r="G6" s="38"/>
      <c r="H6" s="38"/>
      <c r="I6" s="38"/>
      <c r="J6" s="38"/>
      <c r="K6" s="29" t="s">
        <v>68</v>
      </c>
      <c r="L6" s="115"/>
      <c r="M6" s="116">
        <v>0.17</v>
      </c>
      <c r="N6" s="38"/>
    </row>
    <row r="7" spans="2:24" ht="15.75">
      <c r="B7" s="38"/>
      <c r="C7" s="521"/>
      <c r="D7" s="521"/>
      <c r="E7" s="521"/>
      <c r="F7" s="521"/>
      <c r="G7" s="521"/>
      <c r="H7" s="521"/>
      <c r="I7" s="521"/>
      <c r="J7" s="38"/>
      <c r="K7" s="29" t="s">
        <v>69</v>
      </c>
      <c r="L7" s="115"/>
      <c r="M7" s="116">
        <v>0.04</v>
      </c>
      <c r="N7" s="38"/>
    </row>
    <row r="8" spans="2:24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24" ht="15.75">
      <c r="B9" s="38"/>
      <c r="C9" s="38"/>
      <c r="D9" s="38"/>
      <c r="E9" s="151" t="s">
        <v>71</v>
      </c>
      <c r="F9" s="38"/>
      <c r="G9" s="38"/>
      <c r="H9" s="38"/>
      <c r="I9" s="38"/>
      <c r="J9" s="43"/>
      <c r="K9" s="151" t="s">
        <v>71</v>
      </c>
      <c r="L9" s="38"/>
      <c r="M9" s="43" t="s">
        <v>70</v>
      </c>
      <c r="N9" s="38"/>
      <c r="O9" s="127" t="s">
        <v>82</v>
      </c>
    </row>
    <row r="10" spans="2:24">
      <c r="B10" s="38"/>
      <c r="C10" s="150" t="s">
        <v>74</v>
      </c>
      <c r="D10" s="33"/>
      <c r="E10" s="152" t="s">
        <v>72</v>
      </c>
      <c r="F10" s="38"/>
      <c r="G10" s="150" t="s">
        <v>75</v>
      </c>
      <c r="H10" s="38"/>
      <c r="I10" s="38"/>
      <c r="J10" s="38"/>
      <c r="K10" s="152" t="s">
        <v>72</v>
      </c>
      <c r="L10" s="38"/>
      <c r="M10" s="73" t="s">
        <v>28</v>
      </c>
      <c r="N10" s="38"/>
      <c r="O10" s="128" t="s">
        <v>74</v>
      </c>
      <c r="Q10" s="128" t="s">
        <v>75</v>
      </c>
      <c r="S10" s="128" t="s">
        <v>74</v>
      </c>
      <c r="T10" s="128" t="s">
        <v>75</v>
      </c>
      <c r="V10" s="128" t="s">
        <v>74</v>
      </c>
      <c r="W10" s="128" t="s">
        <v>75</v>
      </c>
    </row>
    <row r="11" spans="2:24" ht="18">
      <c r="B11" s="153">
        <v>1</v>
      </c>
      <c r="C11" s="25"/>
      <c r="D11" s="38"/>
      <c r="E11" s="87"/>
      <c r="F11" s="38"/>
      <c r="G11" s="521"/>
      <c r="H11" s="521"/>
      <c r="I11" s="521"/>
      <c r="J11" s="38"/>
      <c r="K11" s="87"/>
      <c r="L11" s="38"/>
      <c r="M11" s="26"/>
      <c r="N11" s="38"/>
      <c r="O11" s="129">
        <f>IF(E11&gt;0,$M11/E11,0)</f>
        <v>0</v>
      </c>
      <c r="P11" s="130"/>
      <c r="Q11" s="129">
        <f>IF(K11&gt;0,$M11/K11,O11)</f>
        <v>0</v>
      </c>
      <c r="S11" s="129">
        <f>E11</f>
        <v>0</v>
      </c>
      <c r="T11" s="129">
        <f>IF(K11&gt;0,K11,$S11)</f>
        <v>0</v>
      </c>
      <c r="V11" s="127">
        <f>O19</f>
        <v>1</v>
      </c>
      <c r="W11" s="127">
        <f>Q19</f>
        <v>0</v>
      </c>
      <c r="X11" s="131">
        <f>IF(S11&lt;&gt;0,M11/SUMPRODUCT(V11:W11,S11:T11),0)</f>
        <v>0</v>
      </c>
    </row>
    <row r="12" spans="2:24" ht="18">
      <c r="B12" s="153">
        <v>2</v>
      </c>
      <c r="C12" s="27"/>
      <c r="D12" s="38"/>
      <c r="E12" s="87"/>
      <c r="F12" s="38"/>
      <c r="G12" s="520"/>
      <c r="H12" s="520"/>
      <c r="I12" s="520"/>
      <c r="J12" s="38"/>
      <c r="K12" s="87"/>
      <c r="L12" s="38"/>
      <c r="M12" s="26"/>
      <c r="N12" s="38"/>
      <c r="O12" s="129">
        <f>IF(E12&gt;0,$M12/E12,0)</f>
        <v>0</v>
      </c>
      <c r="P12" s="129"/>
      <c r="Q12" s="129">
        <f>IF(K12&gt;0,$M12/K12,O12)</f>
        <v>0</v>
      </c>
      <c r="S12" s="129">
        <f t="shared" ref="S12:S15" si="0">E12</f>
        <v>0</v>
      </c>
      <c r="T12" s="129">
        <f>IF(K12&gt;0,K12,$S12)</f>
        <v>0</v>
      </c>
      <c r="V12" s="127">
        <f t="shared" ref="V12:W15" si="1">V11</f>
        <v>1</v>
      </c>
      <c r="W12" s="127">
        <f t="shared" si="1"/>
        <v>0</v>
      </c>
      <c r="X12" s="131">
        <f t="shared" ref="X12:X15" si="2">IF(S12&lt;&gt;0,M12/SUMPRODUCT(V12:W12,S12:T12),0)</f>
        <v>0</v>
      </c>
    </row>
    <row r="13" spans="2:24" ht="18">
      <c r="B13" s="153">
        <v>3</v>
      </c>
      <c r="C13" s="27"/>
      <c r="D13" s="38"/>
      <c r="E13" s="87"/>
      <c r="F13" s="38"/>
      <c r="G13" s="520"/>
      <c r="H13" s="520"/>
      <c r="I13" s="520"/>
      <c r="J13" s="38"/>
      <c r="K13" s="87"/>
      <c r="L13" s="38"/>
      <c r="M13" s="26"/>
      <c r="N13" s="38"/>
      <c r="O13" s="129">
        <f>IF(E13&gt;0,$M13/E13,0)</f>
        <v>0</v>
      </c>
      <c r="P13" s="129"/>
      <c r="Q13" s="129">
        <f>IF(K13&gt;0,$M13/K13,O13)</f>
        <v>0</v>
      </c>
      <c r="S13" s="129">
        <f t="shared" si="0"/>
        <v>0</v>
      </c>
      <c r="T13" s="129">
        <f>IF(K13&gt;0,K13,$S13)</f>
        <v>0</v>
      </c>
      <c r="V13" s="127">
        <f t="shared" si="1"/>
        <v>1</v>
      </c>
      <c r="W13" s="127">
        <f t="shared" si="1"/>
        <v>0</v>
      </c>
      <c r="X13" s="131">
        <f t="shared" si="2"/>
        <v>0</v>
      </c>
    </row>
    <row r="14" spans="2:24" ht="18">
      <c r="B14" s="153">
        <v>4</v>
      </c>
      <c r="C14" s="27"/>
      <c r="D14" s="38"/>
      <c r="E14" s="87"/>
      <c r="F14" s="38"/>
      <c r="G14" s="520"/>
      <c r="H14" s="520"/>
      <c r="I14" s="520"/>
      <c r="J14" s="154"/>
      <c r="K14" s="87"/>
      <c r="L14" s="38"/>
      <c r="M14" s="26"/>
      <c r="N14" s="38"/>
      <c r="O14" s="129">
        <f>IF(E14&gt;0,$M14/E14,0)</f>
        <v>0</v>
      </c>
      <c r="P14" s="129"/>
      <c r="Q14" s="129">
        <f t="shared" ref="Q14:Q15" si="3">IF(K14&gt;0,$M14/K14,O14)</f>
        <v>0</v>
      </c>
      <c r="S14" s="129">
        <f t="shared" si="0"/>
        <v>0</v>
      </c>
      <c r="T14" s="129">
        <f>IF(K14&gt;0,K14,$S14)</f>
        <v>0</v>
      </c>
      <c r="V14" s="127">
        <f t="shared" si="1"/>
        <v>1</v>
      </c>
      <c r="W14" s="127">
        <f t="shared" si="1"/>
        <v>0</v>
      </c>
      <c r="X14" s="131">
        <f t="shared" si="2"/>
        <v>0</v>
      </c>
    </row>
    <row r="15" spans="2:24" ht="18">
      <c r="B15" s="153">
        <v>5</v>
      </c>
      <c r="C15" s="27"/>
      <c r="D15" s="38"/>
      <c r="E15" s="87"/>
      <c r="F15" s="38"/>
      <c r="G15" s="520"/>
      <c r="H15" s="520"/>
      <c r="I15" s="520"/>
      <c r="J15" s="154"/>
      <c r="K15" s="87"/>
      <c r="L15" s="38"/>
      <c r="M15" s="26"/>
      <c r="N15" s="38"/>
      <c r="O15" s="129">
        <f>IF(E15&gt;0,$M15/E15,0)</f>
        <v>0</v>
      </c>
      <c r="P15" s="129"/>
      <c r="Q15" s="129">
        <f t="shared" si="3"/>
        <v>0</v>
      </c>
      <c r="S15" s="129">
        <f t="shared" si="0"/>
        <v>0</v>
      </c>
      <c r="T15" s="129">
        <f>IF(K15&gt;0,K15,$S15)</f>
        <v>0</v>
      </c>
      <c r="V15" s="127">
        <f t="shared" si="1"/>
        <v>1</v>
      </c>
      <c r="W15" s="127">
        <f t="shared" si="1"/>
        <v>0</v>
      </c>
      <c r="X15" s="131">
        <f t="shared" si="2"/>
        <v>0</v>
      </c>
    </row>
    <row r="16" spans="2:24">
      <c r="B16" s="38"/>
      <c r="C16" s="38"/>
      <c r="D16" s="38"/>
      <c r="E16" s="38"/>
      <c r="F16" s="38"/>
      <c r="G16" s="155"/>
      <c r="H16" s="155"/>
      <c r="I16" s="155"/>
      <c r="J16" s="38"/>
      <c r="K16" s="38"/>
      <c r="L16" s="38"/>
      <c r="M16" s="38"/>
      <c r="N16" s="38"/>
    </row>
    <row r="17" spans="2:24">
      <c r="B17" s="38"/>
      <c r="C17" s="156" t="s">
        <v>76</v>
      </c>
      <c r="D17" s="38"/>
      <c r="E17" s="157">
        <f>MAX(0,1-K17)</f>
        <v>1</v>
      </c>
      <c r="F17" s="38"/>
      <c r="G17" s="548" t="s">
        <v>76</v>
      </c>
      <c r="H17" s="548"/>
      <c r="I17" s="548"/>
      <c r="J17" s="38"/>
      <c r="K17" s="28"/>
      <c r="L17" s="38"/>
      <c r="M17" s="38"/>
      <c r="N17" s="38"/>
      <c r="O17" s="129">
        <f>IF(ISNUMBER($E11),1/($M6+SUM(O11:O15)+$M7),0)</f>
        <v>0</v>
      </c>
      <c r="Q17" s="129">
        <f>IF(ISNUMBER($E11),1/($M6+SUM(Q11:Q15)+$M7),0)</f>
        <v>0</v>
      </c>
    </row>
    <row r="18" spans="2:24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2:24" ht="15.75">
      <c r="B19" s="38"/>
      <c r="C19" s="38"/>
      <c r="D19" s="38"/>
      <c r="E19" s="38"/>
      <c r="F19" s="38"/>
      <c r="G19" s="38"/>
      <c r="H19" s="38"/>
      <c r="I19" s="38"/>
      <c r="J19" s="38"/>
      <c r="K19" s="158" t="s">
        <v>83</v>
      </c>
      <c r="L19" s="159"/>
      <c r="M19" s="160">
        <f>SUM(M11:M15)</f>
        <v>0</v>
      </c>
      <c r="N19" s="159" t="s">
        <v>87</v>
      </c>
      <c r="O19" s="132">
        <f>1-Q19</f>
        <v>1</v>
      </c>
      <c r="Q19" s="132">
        <f>K17</f>
        <v>0</v>
      </c>
    </row>
    <row r="20" spans="2:24" ht="18">
      <c r="B20" s="38"/>
      <c r="C20" s="38"/>
      <c r="D20" s="38"/>
      <c r="E20" s="38"/>
      <c r="F20" s="38"/>
      <c r="G20" s="38"/>
      <c r="H20" s="43"/>
      <c r="I20" s="43"/>
      <c r="J20" s="38"/>
      <c r="K20" s="161" t="s">
        <v>73</v>
      </c>
      <c r="L20" s="38"/>
      <c r="M20" s="31" t="str">
        <f>IF(O2,IF(O21&lt;0.1,1/O20,1/(X20*1.1)),"")</f>
        <v/>
      </c>
      <c r="N20" s="159" t="s">
        <v>14</v>
      </c>
      <c r="O20" s="129">
        <f>IF(O2,AVERAGE(Q20,X20),0)</f>
        <v>0</v>
      </c>
      <c r="P20" s="127" t="s">
        <v>79</v>
      </c>
      <c r="Q20" s="129">
        <f>IF(ISNUMBER(E11),1/SUMPRODUCT(O19:Q19,O17:Q17),0)</f>
        <v>0</v>
      </c>
      <c r="R20" s="127" t="s">
        <v>78</v>
      </c>
      <c r="W20" s="127" t="s">
        <v>81</v>
      </c>
      <c r="X20" s="129">
        <f>$M6+SUM(X11:X15)+$M7</f>
        <v>0.21000000000000002</v>
      </c>
    </row>
    <row r="21" spans="2:24">
      <c r="B21" s="38"/>
      <c r="C21" s="150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159"/>
      <c r="O21" s="133">
        <f>IF(O2,(Q20-X20)/(2*O20),0)</f>
        <v>0</v>
      </c>
      <c r="P21" s="127" t="s">
        <v>80</v>
      </c>
    </row>
    <row r="22" spans="2:24">
      <c r="B22" s="38"/>
      <c r="C22" s="525"/>
      <c r="D22" s="526"/>
      <c r="E22" s="526"/>
      <c r="F22" s="526"/>
      <c r="G22" s="526"/>
      <c r="H22" s="526"/>
      <c r="I22" s="526"/>
      <c r="J22" s="526"/>
      <c r="K22" s="526"/>
      <c r="L22" s="526"/>
      <c r="M22" s="527"/>
      <c r="N22" s="38"/>
    </row>
    <row r="23" spans="2:24">
      <c r="B23" s="38"/>
      <c r="C23" s="528"/>
      <c r="D23" s="536"/>
      <c r="E23" s="536"/>
      <c r="F23" s="536"/>
      <c r="G23" s="536"/>
      <c r="H23" s="536"/>
      <c r="I23" s="536"/>
      <c r="J23" s="536"/>
      <c r="K23" s="536"/>
      <c r="L23" s="536"/>
      <c r="M23" s="530"/>
      <c r="N23" s="38"/>
      <c r="O23" s="129" t="str">
        <f>IF(OR(ISNUMBER(M20),ISNUMBER(M41)),MIN(M20,M41),"")</f>
        <v/>
      </c>
    </row>
    <row r="24" spans="2:24">
      <c r="B24" s="38"/>
      <c r="C24" s="528"/>
      <c r="D24" s="536"/>
      <c r="E24" s="536"/>
      <c r="F24" s="536"/>
      <c r="G24" s="536"/>
      <c r="H24" s="536"/>
      <c r="I24" s="536"/>
      <c r="J24" s="536"/>
      <c r="K24" s="536"/>
      <c r="L24" s="536"/>
      <c r="M24" s="530"/>
      <c r="N24" s="38"/>
    </row>
    <row r="25" spans="2:24">
      <c r="B25" s="38"/>
      <c r="C25" s="528"/>
      <c r="D25" s="536"/>
      <c r="E25" s="536"/>
      <c r="F25" s="536"/>
      <c r="G25" s="536"/>
      <c r="H25" s="536"/>
      <c r="I25" s="536"/>
      <c r="J25" s="536"/>
      <c r="K25" s="536"/>
      <c r="L25" s="536"/>
      <c r="M25" s="530"/>
      <c r="N25" s="38"/>
    </row>
    <row r="26" spans="2:24">
      <c r="B26" s="38"/>
      <c r="C26" s="528"/>
      <c r="D26" s="536"/>
      <c r="E26" s="536"/>
      <c r="F26" s="536"/>
      <c r="G26" s="536"/>
      <c r="H26" s="536"/>
      <c r="I26" s="536"/>
      <c r="J26" s="536"/>
      <c r="K26" s="536"/>
      <c r="L26" s="536"/>
      <c r="M26" s="530"/>
      <c r="N26" s="38"/>
    </row>
    <row r="27" spans="2:24">
      <c r="B27" s="38"/>
      <c r="C27" s="528"/>
      <c r="D27" s="536"/>
      <c r="E27" s="536"/>
      <c r="F27" s="536"/>
      <c r="G27" s="536"/>
      <c r="H27" s="536"/>
      <c r="I27" s="536"/>
      <c r="J27" s="536"/>
      <c r="K27" s="536"/>
      <c r="L27" s="536"/>
      <c r="M27" s="530"/>
      <c r="N27" s="38"/>
    </row>
    <row r="28" spans="2:24">
      <c r="B28" s="38"/>
      <c r="C28" s="528"/>
      <c r="D28" s="536"/>
      <c r="E28" s="536"/>
      <c r="F28" s="536"/>
      <c r="G28" s="536"/>
      <c r="H28" s="536"/>
      <c r="I28" s="536"/>
      <c r="J28" s="536"/>
      <c r="K28" s="536"/>
      <c r="L28" s="536"/>
      <c r="M28" s="530"/>
      <c r="N28" s="38"/>
    </row>
    <row r="29" spans="2:24">
      <c r="B29" s="38"/>
      <c r="C29" s="528"/>
      <c r="D29" s="536"/>
      <c r="E29" s="536"/>
      <c r="F29" s="536"/>
      <c r="G29" s="536"/>
      <c r="H29" s="536"/>
      <c r="I29" s="536"/>
      <c r="J29" s="536"/>
      <c r="K29" s="536"/>
      <c r="L29" s="536"/>
      <c r="M29" s="530"/>
      <c r="N29" s="38"/>
    </row>
    <row r="30" spans="2:24">
      <c r="B30" s="38"/>
      <c r="C30" s="528"/>
      <c r="D30" s="536"/>
      <c r="E30" s="536"/>
      <c r="F30" s="536"/>
      <c r="G30" s="536"/>
      <c r="H30" s="536"/>
      <c r="I30" s="536"/>
      <c r="J30" s="536"/>
      <c r="K30" s="536"/>
      <c r="L30" s="536"/>
      <c r="M30" s="530"/>
      <c r="N30" s="38"/>
    </row>
    <row r="31" spans="2:24">
      <c r="B31" s="38"/>
      <c r="C31" s="528"/>
      <c r="D31" s="536"/>
      <c r="E31" s="536"/>
      <c r="F31" s="536"/>
      <c r="G31" s="536"/>
      <c r="H31" s="536"/>
      <c r="I31" s="536"/>
      <c r="J31" s="536"/>
      <c r="K31" s="536"/>
      <c r="L31" s="536"/>
      <c r="M31" s="530"/>
      <c r="N31" s="38"/>
    </row>
    <row r="32" spans="2:24">
      <c r="B32" s="38"/>
      <c r="C32" s="528"/>
      <c r="D32" s="536"/>
      <c r="E32" s="536"/>
      <c r="F32" s="536"/>
      <c r="G32" s="536"/>
      <c r="H32" s="536"/>
      <c r="I32" s="536"/>
      <c r="J32" s="536"/>
      <c r="K32" s="536"/>
      <c r="L32" s="536"/>
      <c r="M32" s="530"/>
      <c r="N32" s="38"/>
    </row>
    <row r="33" spans="2:14">
      <c r="B33" s="38"/>
      <c r="C33" s="528"/>
      <c r="D33" s="536"/>
      <c r="E33" s="536"/>
      <c r="F33" s="536"/>
      <c r="G33" s="536"/>
      <c r="H33" s="536"/>
      <c r="I33" s="536"/>
      <c r="J33" s="536"/>
      <c r="K33" s="536"/>
      <c r="L33" s="536"/>
      <c r="M33" s="530"/>
      <c r="N33" s="38"/>
    </row>
    <row r="34" spans="2:14">
      <c r="B34" s="38"/>
      <c r="C34" s="528"/>
      <c r="D34" s="536"/>
      <c r="E34" s="536"/>
      <c r="F34" s="536"/>
      <c r="G34" s="536"/>
      <c r="H34" s="536"/>
      <c r="I34" s="536"/>
      <c r="J34" s="536"/>
      <c r="K34" s="536"/>
      <c r="L34" s="536"/>
      <c r="M34" s="530"/>
      <c r="N34" s="38"/>
    </row>
    <row r="35" spans="2:14">
      <c r="B35" s="38"/>
      <c r="C35" s="528"/>
      <c r="D35" s="536"/>
      <c r="E35" s="536"/>
      <c r="F35" s="536"/>
      <c r="G35" s="536"/>
      <c r="H35" s="536"/>
      <c r="I35" s="536"/>
      <c r="J35" s="536"/>
      <c r="K35" s="536"/>
      <c r="L35" s="536"/>
      <c r="M35" s="530"/>
      <c r="N35" s="38"/>
    </row>
    <row r="36" spans="2:14">
      <c r="B36" s="38"/>
      <c r="C36" s="528"/>
      <c r="D36" s="536"/>
      <c r="E36" s="536"/>
      <c r="F36" s="536"/>
      <c r="G36" s="536"/>
      <c r="H36" s="536"/>
      <c r="I36" s="536"/>
      <c r="J36" s="536"/>
      <c r="K36" s="536"/>
      <c r="L36" s="536"/>
      <c r="M36" s="530"/>
      <c r="N36" s="38"/>
    </row>
    <row r="37" spans="2:14">
      <c r="B37" s="38"/>
      <c r="C37" s="528"/>
      <c r="D37" s="536"/>
      <c r="E37" s="536"/>
      <c r="F37" s="536"/>
      <c r="G37" s="536"/>
      <c r="H37" s="536"/>
      <c r="I37" s="536"/>
      <c r="J37" s="536"/>
      <c r="K37" s="536"/>
      <c r="L37" s="536"/>
      <c r="M37" s="530"/>
      <c r="N37" s="38"/>
    </row>
    <row r="38" spans="2:14">
      <c r="B38" s="38"/>
      <c r="C38" s="528"/>
      <c r="D38" s="536"/>
      <c r="E38" s="536"/>
      <c r="F38" s="536"/>
      <c r="G38" s="536"/>
      <c r="H38" s="536"/>
      <c r="I38" s="536"/>
      <c r="J38" s="536"/>
      <c r="K38" s="536"/>
      <c r="L38" s="536"/>
      <c r="M38" s="530"/>
      <c r="N38" s="38"/>
    </row>
    <row r="39" spans="2:14">
      <c r="B39" s="38"/>
      <c r="C39" s="531"/>
      <c r="D39" s="532"/>
      <c r="E39" s="532"/>
      <c r="F39" s="532"/>
      <c r="G39" s="532"/>
      <c r="H39" s="532"/>
      <c r="I39" s="532"/>
      <c r="J39" s="532"/>
      <c r="K39" s="532"/>
      <c r="L39" s="532"/>
      <c r="M39" s="533"/>
      <c r="N39" s="38"/>
    </row>
    <row r="40" spans="2:14">
      <c r="B40" s="38"/>
      <c r="C40" s="162" t="s">
        <v>41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2:14" ht="18">
      <c r="B41" s="38"/>
      <c r="C41" s="38"/>
      <c r="D41" s="161"/>
      <c r="E41" s="161"/>
      <c r="F41" s="161"/>
      <c r="G41" s="161"/>
      <c r="H41" s="161"/>
      <c r="I41" s="161"/>
      <c r="J41" s="38"/>
      <c r="K41" s="161" t="s">
        <v>85</v>
      </c>
      <c r="L41" s="38"/>
      <c r="M41" s="87"/>
      <c r="N41" s="159" t="s">
        <v>14</v>
      </c>
    </row>
    <row r="42" spans="2:1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2:14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2:14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</sheetData>
  <sheetProtection algorithmName="SHA-512" hashValue="wQ6gmX2LjCqKP8Y8M8LtKyKanzGn0AbAneTlVb2yg7YC8jvvWv5vxJ7dXYFZEW6xrsjJA0t8rDl57kbM8D35gw==" saltValue="3GYs9nzMf2whEylo6W8WDw==" spinCount="100000" sheet="1" scenarios="1" selectLockedCells="1"/>
  <mergeCells count="8">
    <mergeCell ref="G17:I17"/>
    <mergeCell ref="C22:M39"/>
    <mergeCell ref="C7:I7"/>
    <mergeCell ref="G11:I11"/>
    <mergeCell ref="G12:I12"/>
    <mergeCell ref="G13:I13"/>
    <mergeCell ref="G14:I14"/>
    <mergeCell ref="G15:I15"/>
  </mergeCells>
  <pageMargins left="0.25" right="0.25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C00000"/>
  </sheetPr>
  <dimension ref="B1:AS20"/>
  <sheetViews>
    <sheetView showGridLines="0" showRowColHeaders="0" zoomScaleNormal="158" zoomScalePageLayoutView="158" workbookViewId="0">
      <selection activeCell="C12" sqref="C12:G12"/>
    </sheetView>
  </sheetViews>
  <sheetFormatPr baseColWidth="10" defaultColWidth="10" defaultRowHeight="15"/>
  <cols>
    <col min="1" max="1" width="4.77734375" customWidth="1"/>
    <col min="2" max="2" width="2.33203125" bestFit="1" customWidth="1"/>
    <col min="3" max="3" width="14.33203125" customWidth="1"/>
    <col min="4" max="4" width="0.5546875" customWidth="1"/>
    <col min="5" max="5" width="7.44140625" customWidth="1"/>
    <col min="6" max="6" width="0.6640625" customWidth="1"/>
    <col min="7" max="7" width="15.21875" customWidth="1"/>
    <col min="8" max="8" width="0.6640625" customWidth="1"/>
    <col min="9" max="9" width="7.33203125" customWidth="1"/>
    <col min="10" max="10" width="0.6640625" customWidth="1"/>
    <col min="11" max="11" width="10.44140625" customWidth="1"/>
    <col min="12" max="12" width="0.6640625" customWidth="1"/>
    <col min="13" max="13" width="9.77734375" customWidth="1"/>
    <col min="14" max="14" width="16.33203125" hidden="1" customWidth="1"/>
    <col min="15" max="15" width="1.6640625" hidden="1" customWidth="1"/>
    <col min="16" max="16" width="10" style="68" hidden="1" customWidth="1"/>
    <col min="17" max="17" width="3" style="68" hidden="1" customWidth="1"/>
    <col min="18" max="18" width="8.44140625" style="68" hidden="1" customWidth="1"/>
    <col min="19" max="19" width="5.33203125" style="68" hidden="1" customWidth="1"/>
    <col min="20" max="20" width="8.44140625" style="68" hidden="1" customWidth="1"/>
    <col min="21" max="21" width="7.109375" style="68" hidden="1" customWidth="1"/>
    <col min="22" max="22" width="6" style="68" hidden="1" customWidth="1"/>
    <col min="23" max="24" width="8.44140625" style="68" hidden="1" customWidth="1"/>
    <col min="25" max="25" width="9" style="68" hidden="1" customWidth="1"/>
    <col min="26" max="45" width="8.44140625" hidden="1" customWidth="1"/>
    <col min="46" max="50" width="8.44140625" customWidth="1"/>
  </cols>
  <sheetData>
    <row r="1" spans="2:25" ht="26.1" customHeight="1">
      <c r="B1" s="549" t="s">
        <v>431</v>
      </c>
      <c r="C1" s="549"/>
      <c r="D1" s="549"/>
      <c r="E1" s="549"/>
      <c r="F1" s="549"/>
      <c r="G1" s="549"/>
      <c r="H1" s="549"/>
      <c r="I1" s="549"/>
      <c r="J1" s="549"/>
      <c r="K1" s="342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2:25">
      <c r="B2" s="345" t="str">
        <f>"Para la evaluación energética: " &amp; tipo_eval</f>
        <v>Para la evaluación energética: Camino de Cumplimiento</v>
      </c>
      <c r="C2" s="345"/>
      <c r="D2" s="345"/>
      <c r="E2" s="345"/>
      <c r="F2" s="345"/>
      <c r="G2" s="345"/>
      <c r="H2" s="345"/>
      <c r="I2" s="345"/>
      <c r="J2" s="146"/>
      <c r="K2" s="146"/>
      <c r="L2" s="146"/>
      <c r="M2" s="146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2:25">
      <c r="B3" s="550"/>
      <c r="C3" s="550"/>
      <c r="D3" s="550"/>
      <c r="E3" s="550"/>
      <c r="P3"/>
      <c r="Q3"/>
      <c r="R3"/>
      <c r="S3"/>
      <c r="T3"/>
      <c r="U3"/>
      <c r="V3"/>
      <c r="W3"/>
      <c r="X3"/>
      <c r="Y3" s="70"/>
    </row>
    <row r="4" spans="2:25" ht="11.1" customHeight="1">
      <c r="P4"/>
      <c r="Q4"/>
      <c r="R4"/>
      <c r="S4"/>
      <c r="T4"/>
      <c r="U4"/>
      <c r="V4"/>
      <c r="W4"/>
      <c r="X4"/>
      <c r="Y4" s="70"/>
    </row>
    <row r="5" spans="2:25" ht="11.25" customHeight="1"/>
    <row r="6" spans="2:25" ht="15" customHeight="1">
      <c r="C6" s="97" t="str">
        <f>IF(camino2=2,"Este camino de cumplimiento no permite AA","")</f>
        <v/>
      </c>
      <c r="I6" s="553" t="s">
        <v>365</v>
      </c>
    </row>
    <row r="7" spans="2:25" ht="25.5" customHeight="1">
      <c r="E7" s="12"/>
      <c r="I7" s="553"/>
      <c r="J7" s="1"/>
      <c r="K7" s="12" t="s">
        <v>369</v>
      </c>
      <c r="M7" s="1" t="s">
        <v>370</v>
      </c>
    </row>
    <row r="8" spans="2:25">
      <c r="C8" s="21" t="s">
        <v>363</v>
      </c>
      <c r="D8" s="13"/>
      <c r="E8" s="22"/>
      <c r="G8" s="21"/>
      <c r="I8" s="21" t="s">
        <v>366</v>
      </c>
      <c r="K8" s="22" t="s">
        <v>364</v>
      </c>
      <c r="M8" s="335" t="s">
        <v>364</v>
      </c>
    </row>
    <row r="9" spans="2:25" ht="15.75">
      <c r="B9" s="2">
        <v>1</v>
      </c>
      <c r="C9" s="551"/>
      <c r="D9" s="552"/>
      <c r="E9" s="552"/>
      <c r="F9" s="552"/>
      <c r="G9" s="552"/>
      <c r="H9" s="114"/>
      <c r="I9" s="121"/>
      <c r="K9" s="122"/>
      <c r="M9" s="136" t="str">
        <f t="shared" ref="M9:M18" si="0">IF(camino2=2,"no aplica",IF(AND(ISTEXT(I9),ISNUMBER(K9)),(IF(I9="COP",K9,K9/3.4153)),""))</f>
        <v/>
      </c>
    </row>
    <row r="10" spans="2:25" ht="15.75">
      <c r="B10" s="2">
        <v>2</v>
      </c>
      <c r="C10" s="551"/>
      <c r="D10" s="552"/>
      <c r="E10" s="552"/>
      <c r="F10" s="552"/>
      <c r="G10" s="552"/>
      <c r="H10" s="114"/>
      <c r="I10" s="121"/>
      <c r="K10" s="122"/>
      <c r="M10" s="136" t="str">
        <f t="shared" si="0"/>
        <v/>
      </c>
    </row>
    <row r="11" spans="2:25" ht="15.75">
      <c r="B11" s="2">
        <v>3</v>
      </c>
      <c r="C11" s="551"/>
      <c r="D11" s="552"/>
      <c r="E11" s="552"/>
      <c r="F11" s="552"/>
      <c r="G11" s="552"/>
      <c r="H11" s="114"/>
      <c r="I11" s="121"/>
      <c r="K11" s="122"/>
      <c r="M11" s="136" t="str">
        <f t="shared" si="0"/>
        <v/>
      </c>
    </row>
    <row r="12" spans="2:25" ht="15.75">
      <c r="B12" s="2">
        <v>4</v>
      </c>
      <c r="C12" s="551"/>
      <c r="D12" s="552"/>
      <c r="E12" s="552"/>
      <c r="F12" s="552"/>
      <c r="G12" s="552"/>
      <c r="H12" s="114"/>
      <c r="I12" s="121"/>
      <c r="J12" s="14"/>
      <c r="K12" s="122"/>
      <c r="M12" s="136" t="str">
        <f t="shared" si="0"/>
        <v/>
      </c>
    </row>
    <row r="13" spans="2:25" ht="15.75">
      <c r="B13" s="2">
        <v>5</v>
      </c>
      <c r="C13" s="551"/>
      <c r="D13" s="552"/>
      <c r="E13" s="552"/>
      <c r="F13" s="552"/>
      <c r="G13" s="552"/>
      <c r="H13" s="114"/>
      <c r="I13" s="121"/>
      <c r="J13" s="14"/>
      <c r="K13" s="122"/>
      <c r="M13" s="136" t="str">
        <f t="shared" si="0"/>
        <v/>
      </c>
    </row>
    <row r="14" spans="2:25" ht="15.75">
      <c r="B14" s="2">
        <v>6</v>
      </c>
      <c r="C14" s="551"/>
      <c r="D14" s="552"/>
      <c r="E14" s="552"/>
      <c r="F14" s="552"/>
      <c r="G14" s="552"/>
      <c r="H14" s="114"/>
      <c r="I14" s="121"/>
      <c r="J14" s="14"/>
      <c r="K14" s="122"/>
      <c r="M14" s="136" t="str">
        <f t="shared" si="0"/>
        <v/>
      </c>
    </row>
    <row r="15" spans="2:25" ht="15.75">
      <c r="B15" s="2">
        <v>7</v>
      </c>
      <c r="C15" s="551"/>
      <c r="D15" s="552"/>
      <c r="E15" s="552"/>
      <c r="F15" s="552"/>
      <c r="G15" s="552"/>
      <c r="H15" s="114"/>
      <c r="I15" s="121"/>
      <c r="J15" s="14"/>
      <c r="K15" s="122"/>
      <c r="M15" s="136" t="str">
        <f t="shared" si="0"/>
        <v/>
      </c>
    </row>
    <row r="16" spans="2:25" ht="15.75">
      <c r="B16" s="2">
        <v>8</v>
      </c>
      <c r="C16" s="551"/>
      <c r="D16" s="552"/>
      <c r="E16" s="552"/>
      <c r="F16" s="552"/>
      <c r="G16" s="552"/>
      <c r="H16" s="114"/>
      <c r="I16" s="121"/>
      <c r="J16" s="14"/>
      <c r="K16" s="122"/>
      <c r="M16" s="136" t="str">
        <f t="shared" si="0"/>
        <v/>
      </c>
    </row>
    <row r="17" spans="2:13" ht="15.75">
      <c r="B17" s="2">
        <v>9</v>
      </c>
      <c r="C17" s="552"/>
      <c r="D17" s="552"/>
      <c r="E17" s="552"/>
      <c r="F17" s="552"/>
      <c r="G17" s="552"/>
      <c r="H17" s="114"/>
      <c r="I17" s="121"/>
      <c r="J17" s="14"/>
      <c r="K17" s="122"/>
      <c r="M17" s="136" t="str">
        <f t="shared" si="0"/>
        <v/>
      </c>
    </row>
    <row r="18" spans="2:13" ht="15.75">
      <c r="B18" s="2">
        <v>10</v>
      </c>
      <c r="C18" s="552"/>
      <c r="D18" s="552"/>
      <c r="E18" s="552"/>
      <c r="F18" s="552"/>
      <c r="G18" s="552"/>
      <c r="H18" s="114"/>
      <c r="I18" s="121"/>
      <c r="J18" s="14"/>
      <c r="K18" s="122"/>
      <c r="M18" s="136" t="str">
        <f t="shared" si="0"/>
        <v/>
      </c>
    </row>
    <row r="19" spans="2:13" ht="6.75" customHeight="1"/>
    <row r="20" spans="2:13" ht="15.75">
      <c r="C20" s="538" t="s">
        <v>362</v>
      </c>
      <c r="D20" s="538"/>
      <c r="E20" s="538"/>
      <c r="F20" s="538"/>
      <c r="G20" s="538"/>
      <c r="H20" s="538"/>
      <c r="I20" s="538"/>
      <c r="K20" s="346" t="str">
        <f>IF(SUM($M$9:$M$18)&gt;0,(IFERROR(MIN($M$9:$M$18),"")),"")</f>
        <v/>
      </c>
      <c r="L20" s="24" t="s">
        <v>318</v>
      </c>
    </row>
  </sheetData>
  <sheetProtection algorithmName="SHA-512" hashValue="NcHRVoKqfk2PiUlB+pq2irlov7W79/KHCe/3gh6INCYXBli0MGmtsXBlVue3azt+sXxJAk7llnh37pGdgUn/iQ==" saltValue="jAhiDg0MoYlajBkIZfwkMA==" spinCount="100000" sheet="1" selectLockedCells="1"/>
  <protectedRanges>
    <protectedRange sqref="C9:G18 I9:I18 K9:K18" name="Range1"/>
  </protectedRanges>
  <mergeCells count="14">
    <mergeCell ref="B1:J1"/>
    <mergeCell ref="B3:E3"/>
    <mergeCell ref="C20:I20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I6:I7"/>
  </mergeCells>
  <phoneticPr fontId="15" type="noConversion"/>
  <dataValidations count="1">
    <dataValidation type="list" allowBlank="1" showInputMessage="1" showErrorMessage="1" sqref="I9:I18">
      <formula1>hvac_unit</formula1>
    </dataValidation>
  </dataValidations>
  <printOptions horizontalCentered="1"/>
  <pageMargins left="0.25" right="0.25" top="0.75000000000000011" bottom="0.75000000000000011" header="0.30000000000000004" footer="0.30000000000000004"/>
  <pageSetup orientation="portrait" r:id="rId1"/>
  <headerFooter>
    <oddFooter>&amp;L&amp;"Arial,Normal"&amp;8&amp;K00-048&amp;F&amp;C&amp;"Arial (Cuerpo),Normal"&amp;8&amp;K00-048&amp;A&amp;R&amp;"Arial,Normal"&amp;9&amp;K01+047Página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4"/>
  </sheetPr>
  <dimension ref="B1:AB59"/>
  <sheetViews>
    <sheetView showGridLines="0" showRowColHeaders="0" topLeftCell="A15" zoomScale="90" zoomScaleNormal="90" zoomScalePageLayoutView="198" workbookViewId="0">
      <selection activeCell="M15" sqref="M15"/>
    </sheetView>
  </sheetViews>
  <sheetFormatPr baseColWidth="10" defaultColWidth="10.33203125" defaultRowHeight="15"/>
  <cols>
    <col min="1" max="1" width="4.6640625" customWidth="1"/>
    <col min="2" max="2" width="4.33203125" customWidth="1"/>
    <col min="3" max="3" width="17.33203125" customWidth="1"/>
    <col min="4" max="4" width="2.33203125" customWidth="1"/>
    <col min="5" max="5" width="6.44140625" customWidth="1"/>
    <col min="6" max="6" width="1.109375" customWidth="1"/>
    <col min="7" max="7" width="8.88671875" customWidth="1"/>
    <col min="8" max="8" width="0.6640625" customWidth="1"/>
    <col min="9" max="9" width="10" customWidth="1"/>
    <col min="10" max="10" width="0.6640625" customWidth="1"/>
    <col min="11" max="11" width="2.44140625" customWidth="1"/>
    <col min="12" max="12" width="10" customWidth="1"/>
    <col min="13" max="13" width="9" customWidth="1"/>
    <col min="14" max="14" width="1" customWidth="1"/>
    <col min="15" max="15" width="8.44140625" customWidth="1"/>
    <col min="16" max="16" width="7.6640625" hidden="1" customWidth="1"/>
    <col min="17" max="17" width="2.88671875" hidden="1" customWidth="1"/>
    <col min="18" max="18" width="9.44140625" hidden="1" customWidth="1"/>
    <col min="19" max="26" width="8.44140625" hidden="1" customWidth="1"/>
    <col min="27" max="51" width="8.44140625" customWidth="1"/>
  </cols>
  <sheetData>
    <row r="1" spans="2:15" ht="26.1" customHeight="1">
      <c r="B1" s="163" t="s">
        <v>430</v>
      </c>
      <c r="C1" s="164"/>
      <c r="D1" s="164"/>
      <c r="E1" s="164"/>
      <c r="F1" s="164"/>
      <c r="G1" s="38"/>
      <c r="H1" s="38"/>
      <c r="I1" s="38"/>
      <c r="J1" s="38"/>
      <c r="K1" s="38"/>
      <c r="L1" s="38"/>
      <c r="M1" s="38"/>
      <c r="N1" s="38"/>
      <c r="O1" s="38"/>
    </row>
    <row r="2" spans="2:15">
      <c r="B2" s="38" t="str">
        <f>"Para la evaluación energética de:  " &amp; tipo_eval</f>
        <v>Para la evaluación energética de:  Camino de Cumplimiento</v>
      </c>
      <c r="C2" s="38"/>
      <c r="D2" s="38"/>
      <c r="E2" s="38"/>
      <c r="F2" s="38"/>
      <c r="G2" s="166"/>
      <c r="H2" s="166"/>
      <c r="I2" s="166"/>
      <c r="J2" s="38"/>
      <c r="K2" s="38"/>
      <c r="L2" s="38"/>
      <c r="M2" s="38"/>
      <c r="N2" s="38"/>
      <c r="O2" s="38"/>
    </row>
    <row r="3" spans="2:15">
      <c r="B3" s="14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5" ht="7.5" customHeight="1">
      <c r="B4" s="38"/>
      <c r="C4" s="167"/>
      <c r="D4" s="168"/>
      <c r="E4" s="168"/>
      <c r="F4" s="168"/>
      <c r="G4" s="168"/>
      <c r="H4" s="168"/>
      <c r="I4" s="168"/>
      <c r="J4" s="559" t="s">
        <v>325</v>
      </c>
      <c r="K4" s="559"/>
      <c r="L4" s="559"/>
      <c r="M4" s="560" t="str">
        <f ca="1">IF((AND(listo="Sí",Data!M24)),"CUMPLE","INCOMPLETO")</f>
        <v>INCOMPLETO</v>
      </c>
      <c r="N4" s="560"/>
      <c r="O4" s="560"/>
    </row>
    <row r="5" spans="2:15" ht="7.5" customHeight="1">
      <c r="B5" s="38"/>
      <c r="C5" s="168"/>
      <c r="D5" s="168"/>
      <c r="E5" s="168"/>
      <c r="F5" s="168"/>
      <c r="G5" s="168"/>
      <c r="H5" s="168"/>
      <c r="I5" s="168"/>
      <c r="J5" s="559"/>
      <c r="K5" s="559"/>
      <c r="L5" s="559"/>
      <c r="M5" s="560"/>
      <c r="N5" s="560"/>
      <c r="O5" s="560"/>
    </row>
    <row r="6" spans="2:15" ht="15.75">
      <c r="B6" s="469" t="s">
        <v>1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</row>
    <row r="7" spans="2:15" ht="3.9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>
      <c r="B8" s="169" t="s">
        <v>6</v>
      </c>
      <c r="C8" s="170"/>
      <c r="D8" s="171"/>
      <c r="E8" s="442" t="str">
        <f>IF(ISTEXT(Info_Proyecto_Nombre),Info_Proyecto_Nombre,"")</f>
        <v/>
      </c>
      <c r="F8" s="442"/>
      <c r="G8" s="442"/>
      <c r="H8" s="442"/>
      <c r="I8" s="442"/>
      <c r="J8" s="442"/>
      <c r="K8" s="442"/>
      <c r="L8" s="442"/>
      <c r="M8" s="442"/>
      <c r="N8" s="442"/>
      <c r="O8" s="442"/>
    </row>
    <row r="9" spans="2:15" hidden="1">
      <c r="B9" s="169" t="s">
        <v>92</v>
      </c>
      <c r="C9" s="170"/>
      <c r="D9" s="171"/>
      <c r="E9" s="565" t="str">
        <f>IF(ISTEXT(Info_N_tramite),Info_N_tramite,"")</f>
        <v/>
      </c>
      <c r="F9" s="565"/>
      <c r="G9" s="565"/>
      <c r="H9" s="565"/>
      <c r="I9" s="565"/>
      <c r="J9" s="565"/>
      <c r="K9" s="565"/>
      <c r="L9" s="562" t="s">
        <v>91</v>
      </c>
      <c r="M9" s="562"/>
      <c r="N9" s="565" t="str">
        <f>IF(ISTEXT(Info_C_tramite),Info_C_tramite,"")</f>
        <v/>
      </c>
      <c r="O9" s="565"/>
    </row>
    <row r="10" spans="2:15">
      <c r="B10" s="169" t="s">
        <v>2</v>
      </c>
      <c r="C10" s="170"/>
      <c r="D10" s="171"/>
      <c r="E10" s="565" t="str">
        <f>IF(ISTEXT(Info_Municipio),Info_Municipio,"")</f>
        <v/>
      </c>
      <c r="F10" s="565"/>
      <c r="G10" s="565"/>
      <c r="H10" s="565"/>
      <c r="I10" s="565"/>
      <c r="J10" s="565"/>
      <c r="K10" s="565"/>
      <c r="L10" s="565"/>
      <c r="M10" s="565"/>
      <c r="N10" s="565"/>
      <c r="O10" s="565"/>
    </row>
    <row r="11" spans="2:15" ht="3.95" customHeight="1">
      <c r="B11" s="38">
        <v>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2:15">
      <c r="B12" s="172" t="s">
        <v>165</v>
      </c>
      <c r="C12" s="38"/>
      <c r="D12" s="171"/>
      <c r="E12" s="442" t="str">
        <f>IF(ISTEXT(N_Ing),N_Ing,"")</f>
        <v/>
      </c>
      <c r="F12" s="442"/>
      <c r="G12" s="442"/>
      <c r="H12" s="442"/>
      <c r="I12" s="442"/>
      <c r="J12" s="442"/>
      <c r="K12" s="442"/>
      <c r="L12" s="442"/>
      <c r="M12" s="442"/>
      <c r="N12" s="442"/>
      <c r="O12" s="442"/>
    </row>
    <row r="13" spans="2:15">
      <c r="B13" s="172" t="s">
        <v>4</v>
      </c>
      <c r="C13" s="38"/>
      <c r="D13" s="171"/>
      <c r="E13" s="442" t="str">
        <f>IF(ISTEXT(NI_Ing),NI_Ing,"")</f>
        <v/>
      </c>
      <c r="F13" s="442"/>
      <c r="G13" s="442"/>
      <c r="H13" s="442"/>
      <c r="I13" s="442"/>
      <c r="J13" s="442"/>
      <c r="K13" s="442"/>
      <c r="L13" s="442"/>
      <c r="M13" s="442"/>
      <c r="N13" s="442"/>
      <c r="O13" s="442"/>
    </row>
    <row r="14" spans="2:15" ht="3.95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2:15" ht="15.75">
      <c r="B15" s="39" t="s">
        <v>326</v>
      </c>
      <c r="C15" s="39"/>
      <c r="D15" s="39"/>
      <c r="E15" s="561" t="str">
        <f>tipo_eval</f>
        <v>Camino de Cumplimiento</v>
      </c>
      <c r="F15" s="561"/>
      <c r="G15" s="561"/>
      <c r="H15" s="561"/>
      <c r="I15" s="561"/>
      <c r="J15" s="561"/>
      <c r="K15" s="561"/>
      <c r="L15" s="173" t="s">
        <v>327</v>
      </c>
      <c r="M15" s="333">
        <v>5</v>
      </c>
      <c r="N15" s="39"/>
      <c r="O15" s="39"/>
    </row>
    <row r="16" spans="2:15" ht="3.95" customHeight="1">
      <c r="B16" s="38"/>
      <c r="C16" s="38"/>
      <c r="D16" s="38"/>
      <c r="E16" s="153"/>
      <c r="F16" s="153"/>
      <c r="G16" s="153"/>
      <c r="H16" s="153"/>
      <c r="I16" s="153"/>
      <c r="J16" s="153"/>
      <c r="K16" s="153"/>
      <c r="L16" s="153"/>
      <c r="M16" s="38"/>
      <c r="N16" s="38"/>
      <c r="O16" s="38"/>
    </row>
    <row r="17" spans="2:18" s="8" customFormat="1" ht="27" customHeight="1">
      <c r="B17" s="174" t="s">
        <v>140</v>
      </c>
      <c r="C17" s="71" t="s">
        <v>9</v>
      </c>
      <c r="D17" s="71"/>
      <c r="E17" s="71" t="s">
        <v>10</v>
      </c>
      <c r="F17" s="71"/>
      <c r="G17" s="71" t="s">
        <v>15</v>
      </c>
      <c r="H17" s="71"/>
      <c r="I17" s="564" t="s">
        <v>42</v>
      </c>
      <c r="J17" s="564"/>
      <c r="K17" s="564"/>
      <c r="L17" s="563" t="s">
        <v>11</v>
      </c>
      <c r="M17" s="563"/>
      <c r="N17" s="77"/>
      <c r="O17" s="71" t="s">
        <v>12</v>
      </c>
    </row>
    <row r="18" spans="2:18" s="8" customFormat="1" ht="15.95" customHeight="1">
      <c r="B18" s="84">
        <v>1</v>
      </c>
      <c r="C18" s="95" t="s">
        <v>166</v>
      </c>
      <c r="D18" s="71"/>
      <c r="E18" s="72" t="str">
        <f ca="1">IF(variantes!J27&gt;0,variantes!J27,"")</f>
        <v/>
      </c>
      <c r="F18" s="71"/>
      <c r="G18" s="88"/>
      <c r="H18" s="71"/>
      <c r="I18" s="175" t="str">
        <f>IF(ISNUMBER(pared_U),pared_U,"")</f>
        <v/>
      </c>
      <c r="J18" s="30"/>
      <c r="K18" s="36"/>
      <c r="L18" s="115" t="s">
        <v>330</v>
      </c>
      <c r="M18" s="30"/>
      <c r="N18" s="30"/>
      <c r="O18" s="554" t="str">
        <f ca="1">IF(AND(ISNUMBER(E18),ISNUMBER(I18)),IF(I18&lt;=E18,"Sí","no"),"")</f>
        <v/>
      </c>
    </row>
    <row r="19" spans="2:18" s="8" customFormat="1" ht="15.95" customHeight="1">
      <c r="B19" s="84"/>
      <c r="C19" s="73" t="s">
        <v>14</v>
      </c>
      <c r="D19" s="71"/>
      <c r="E19" s="76"/>
      <c r="F19" s="71"/>
      <c r="G19" s="176"/>
      <c r="H19" s="71"/>
      <c r="I19" s="38"/>
      <c r="J19" s="30"/>
      <c r="K19" s="36"/>
      <c r="L19" s="30" t="s">
        <v>17</v>
      </c>
      <c r="M19" s="30"/>
      <c r="N19" s="30"/>
      <c r="O19" s="556"/>
    </row>
    <row r="20" spans="2:18" s="8" customFormat="1" ht="15.95" customHeight="1">
      <c r="B20" s="84"/>
      <c r="C20" s="77"/>
      <c r="D20" s="71"/>
      <c r="E20" s="71"/>
      <c r="F20" s="71"/>
      <c r="G20" s="71"/>
      <c r="H20" s="71"/>
      <c r="I20" s="177"/>
      <c r="J20" s="30"/>
      <c r="K20" s="36"/>
      <c r="L20" s="30" t="s">
        <v>18</v>
      </c>
      <c r="M20" s="30"/>
      <c r="N20" s="30"/>
      <c r="O20" s="555"/>
    </row>
    <row r="21" spans="2:18" s="8" customFormat="1" ht="3.95" customHeight="1">
      <c r="B21" s="84"/>
      <c r="C21" s="73"/>
      <c r="D21" s="71"/>
      <c r="E21" s="71"/>
      <c r="F21" s="71"/>
      <c r="G21" s="71"/>
      <c r="H21" s="71"/>
      <c r="I21" s="178"/>
      <c r="J21" s="178"/>
      <c r="K21" s="71"/>
      <c r="L21" s="71"/>
      <c r="M21" s="71"/>
      <c r="N21" s="77"/>
      <c r="O21" s="71"/>
    </row>
    <row r="22" spans="2:18" ht="15.75">
      <c r="B22" s="84">
        <v>2</v>
      </c>
      <c r="C22" s="30" t="s">
        <v>21</v>
      </c>
      <c r="D22" s="30"/>
      <c r="E22" s="72" t="str">
        <f ca="1">IF(variantes!J28&gt;0,variantes!J28,"")</f>
        <v/>
      </c>
      <c r="F22" s="30"/>
      <c r="G22" s="88"/>
      <c r="H22" s="177"/>
      <c r="I22" s="179" t="str">
        <f>IF(ISNUMBER(Ventanas_U),Ventanas_U,"")</f>
        <v/>
      </c>
      <c r="J22" s="30"/>
      <c r="K22" s="36"/>
      <c r="L22" s="115" t="s">
        <v>330</v>
      </c>
      <c r="M22" s="30"/>
      <c r="N22" s="30"/>
      <c r="O22" s="554" t="str">
        <f ca="1">IF(AND(ISNUMBER(E22),ISNUMBER(I22)),IF(I22&lt;=E22,"Sí","no"),"")</f>
        <v/>
      </c>
    </row>
    <row r="23" spans="2:18" ht="15.75">
      <c r="B23" s="83"/>
      <c r="C23" s="73" t="s">
        <v>14</v>
      </c>
      <c r="D23" s="30"/>
      <c r="E23" s="30"/>
      <c r="F23" s="30"/>
      <c r="G23" s="177"/>
      <c r="H23" s="177"/>
      <c r="I23" s="177"/>
      <c r="J23" s="30"/>
      <c r="K23" s="36"/>
      <c r="L23" s="30" t="s">
        <v>18</v>
      </c>
      <c r="M23" s="30"/>
      <c r="N23" s="30"/>
      <c r="O23" s="555"/>
    </row>
    <row r="24" spans="2:18" ht="3.95" customHeight="1">
      <c r="B24" s="83"/>
      <c r="C24" s="73"/>
      <c r="D24" s="30"/>
      <c r="E24" s="30"/>
      <c r="F24" s="30"/>
      <c r="G24" s="177"/>
      <c r="H24" s="177"/>
      <c r="I24" s="177"/>
      <c r="J24" s="30"/>
      <c r="K24" s="180"/>
      <c r="L24" s="30"/>
      <c r="M24" s="30"/>
      <c r="N24" s="30"/>
      <c r="O24" s="30"/>
    </row>
    <row r="25" spans="2:18" ht="15.75">
      <c r="B25" s="84">
        <v>3</v>
      </c>
      <c r="C25" s="30" t="s">
        <v>22</v>
      </c>
      <c r="D25" s="30"/>
      <c r="E25" s="72" t="str">
        <f ca="1">IF(variantes!J29&gt;0,variantes!J29,"")</f>
        <v/>
      </c>
      <c r="F25" s="30"/>
      <c r="G25" s="88"/>
      <c r="H25" s="177"/>
      <c r="I25" s="179" t="str">
        <f>IF(ISNUMBER(Ventanas_g),Ventanas_g,"")</f>
        <v/>
      </c>
      <c r="J25" s="30"/>
      <c r="K25" s="36"/>
      <c r="L25" s="30" t="s">
        <v>19</v>
      </c>
      <c r="M25" s="30"/>
      <c r="N25" s="30"/>
      <c r="O25" s="554" t="str">
        <f ca="1">IF(AND(ISNUMBER(E25),ISNUMBER(I25)),IF(I25&lt;=E25,"Sí","no"),"")</f>
        <v/>
      </c>
    </row>
    <row r="26" spans="2:18" ht="15.75">
      <c r="B26" s="83"/>
      <c r="C26" s="30"/>
      <c r="D26" s="30"/>
      <c r="E26" s="30"/>
      <c r="F26" s="30"/>
      <c r="G26" s="177"/>
      <c r="H26" s="177"/>
      <c r="I26" s="177"/>
      <c r="J26" s="30"/>
      <c r="K26" s="36"/>
      <c r="L26" s="30" t="s">
        <v>20</v>
      </c>
      <c r="M26" s="30"/>
      <c r="N26" s="30"/>
      <c r="O26" s="555"/>
      <c r="R26" s="120"/>
    </row>
    <row r="27" spans="2:18" ht="3.95" customHeight="1">
      <c r="B27" s="83"/>
      <c r="C27" s="30"/>
      <c r="D27" s="30"/>
      <c r="E27" s="30"/>
      <c r="F27" s="30"/>
      <c r="G27" s="177"/>
      <c r="H27" s="177"/>
      <c r="I27" s="177"/>
      <c r="J27" s="30"/>
      <c r="K27" s="30"/>
      <c r="L27" s="30"/>
      <c r="M27" s="30"/>
      <c r="N27" s="30"/>
      <c r="O27" s="30"/>
    </row>
    <row r="28" spans="2:18" ht="15.75">
      <c r="B28" s="84">
        <v>4</v>
      </c>
      <c r="C28" s="75" t="s">
        <v>27</v>
      </c>
      <c r="D28" s="38"/>
      <c r="E28" s="119">
        <f ca="1">IF(variantes!J30&gt;=0,variantes!J30,"")</f>
        <v>0</v>
      </c>
      <c r="F28" s="38"/>
      <c r="G28" s="88"/>
      <c r="H28" s="38"/>
      <c r="I28" s="179" t="str">
        <f>IF(ISNUMBER(FP_sur),FP_sur,"")</f>
        <v/>
      </c>
      <c r="J28" s="38"/>
      <c r="K28" s="36"/>
      <c r="L28" s="30" t="s">
        <v>89</v>
      </c>
      <c r="M28" s="30"/>
      <c r="N28" s="38"/>
      <c r="O28" s="554" t="str">
        <f ca="1">IF(AND(ISNUMBER(E28),ISNUMBER(I28)),IF(I28&gt;=E28,"Sí","no"),"")</f>
        <v/>
      </c>
      <c r="R28" s="120"/>
    </row>
    <row r="29" spans="2:18" ht="15.75">
      <c r="B29" s="84"/>
      <c r="C29" s="73" t="s">
        <v>322</v>
      </c>
      <c r="D29" s="38"/>
      <c r="E29" s="38"/>
      <c r="F29" s="38"/>
      <c r="G29" s="38"/>
      <c r="H29" s="38"/>
      <c r="I29" s="38"/>
      <c r="J29" s="38"/>
      <c r="K29" s="36"/>
      <c r="L29" s="30" t="s">
        <v>90</v>
      </c>
      <c r="M29" s="30"/>
      <c r="N29" s="38"/>
      <c r="O29" s="555"/>
    </row>
    <row r="30" spans="2:18" ht="3.95" customHeight="1">
      <c r="B30" s="84"/>
      <c r="C30" s="73"/>
      <c r="D30" s="38"/>
      <c r="E30" s="38"/>
      <c r="F30" s="38"/>
      <c r="G30" s="38"/>
      <c r="H30" s="38"/>
      <c r="I30" s="38"/>
      <c r="J30" s="38"/>
      <c r="K30" s="181"/>
      <c r="L30" s="30"/>
      <c r="M30" s="30"/>
      <c r="N30" s="38"/>
      <c r="O30" s="45"/>
    </row>
    <row r="31" spans="2:18" ht="17.25" customHeight="1">
      <c r="B31" s="84">
        <v>5</v>
      </c>
      <c r="C31" s="75" t="s">
        <v>29</v>
      </c>
      <c r="D31" s="38"/>
      <c r="E31" s="72">
        <f ca="1">IF(variantes!J31&gt;=0,variantes!J31,"")</f>
        <v>0</v>
      </c>
      <c r="F31" s="38"/>
      <c r="G31" s="88"/>
      <c r="H31" s="38"/>
      <c r="I31" s="179" t="str">
        <f>IF(ISNUMBER(FP_SO),FP_SO,"")</f>
        <v/>
      </c>
      <c r="J31" s="38"/>
      <c r="K31" s="36"/>
      <c r="L31" s="30" t="s">
        <v>93</v>
      </c>
      <c r="M31" s="30"/>
      <c r="N31" s="38"/>
      <c r="O31" s="554" t="str">
        <f ca="1">IF(AND(ISNUMBER(E31),ISNUMBER(I31)),IF(I31&gt;=E31,"Sí","no"),"")</f>
        <v/>
      </c>
      <c r="R31" s="427"/>
    </row>
    <row r="32" spans="2:18" ht="17.25" customHeight="1">
      <c r="B32" s="84"/>
      <c r="C32" s="73" t="s">
        <v>322</v>
      </c>
      <c r="D32" s="38"/>
      <c r="E32" s="38"/>
      <c r="F32" s="38"/>
      <c r="G32" s="38"/>
      <c r="H32" s="38"/>
      <c r="I32" s="38"/>
      <c r="J32" s="38"/>
      <c r="K32" s="36"/>
      <c r="L32" s="30" t="s">
        <v>90</v>
      </c>
      <c r="M32" s="30"/>
      <c r="N32" s="38"/>
      <c r="O32" s="555"/>
    </row>
    <row r="33" spans="2:28" ht="3.95" customHeight="1">
      <c r="B33" s="84"/>
      <c r="C33" s="73"/>
      <c r="D33" s="38"/>
      <c r="E33" s="38"/>
      <c r="F33" s="38"/>
      <c r="G33" s="38"/>
      <c r="H33" s="38"/>
      <c r="I33" s="38"/>
      <c r="J33" s="38"/>
      <c r="K33" s="30"/>
      <c r="L33" s="30"/>
      <c r="M33" s="30"/>
      <c r="N33" s="38"/>
      <c r="O33" s="38"/>
    </row>
    <row r="34" spans="2:28" ht="17.25" customHeight="1">
      <c r="B34" s="84">
        <v>6</v>
      </c>
      <c r="C34" s="557" t="s">
        <v>403</v>
      </c>
      <c r="D34" s="78" t="s">
        <v>114</v>
      </c>
      <c r="E34" s="79" t="str">
        <f ca="1">IF(variantes!$J$32&gt;0,variantes!$J$32,"")</f>
        <v/>
      </c>
      <c r="F34" s="38"/>
      <c r="G34" s="88"/>
      <c r="H34" s="38"/>
      <c r="I34" s="182" t="str">
        <f>IF(ISNUMBER(MV_Ppal),MV_Ppal,"")</f>
        <v/>
      </c>
      <c r="J34" s="38"/>
      <c r="K34" s="36"/>
      <c r="L34" s="115" t="s">
        <v>330</v>
      </c>
      <c r="M34" s="30"/>
      <c r="N34" s="38"/>
      <c r="O34" s="65" t="str">
        <f ca="1">IF(AND(ISNUMBER(E34),ISNUMBER(I34)),IF(I34&lt;=E34,"Sí","no"),"")</f>
        <v/>
      </c>
    </row>
    <row r="35" spans="2:28" ht="3.95" customHeight="1">
      <c r="B35" s="84"/>
      <c r="C35" s="558"/>
      <c r="D35" s="80"/>
      <c r="E35" s="79"/>
      <c r="F35" s="38"/>
      <c r="G35" s="176"/>
      <c r="H35" s="38"/>
      <c r="I35" s="183"/>
      <c r="J35" s="38"/>
      <c r="K35" s="184"/>
      <c r="L35" s="30"/>
      <c r="M35" s="30"/>
      <c r="N35" s="38"/>
      <c r="O35" s="66"/>
    </row>
    <row r="36" spans="2:28" ht="16.5" customHeight="1">
      <c r="B36" s="84"/>
      <c r="C36" s="558"/>
      <c r="D36" s="78" t="s">
        <v>115</v>
      </c>
      <c r="E36" s="79" t="str">
        <f ca="1">IF(variantes!$J$32&gt;0,variantes!$J$32,"")</f>
        <v/>
      </c>
      <c r="F36" s="38"/>
      <c r="G36" s="88"/>
      <c r="H36" s="38"/>
      <c r="I36" s="182" t="str">
        <f>IF(ISNUMBER(MV_F1),MV_F1,"")</f>
        <v/>
      </c>
      <c r="J36" s="38"/>
      <c r="K36" s="36"/>
      <c r="L36" s="115" t="s">
        <v>330</v>
      </c>
      <c r="M36" s="30"/>
      <c r="N36" s="38"/>
      <c r="O36" s="65" t="str">
        <f ca="1">IF(AND(ISNUMBER(E36),ISNUMBER(I36)),IF(I36&lt;=E36,"Sí","no"),"")</f>
        <v/>
      </c>
    </row>
    <row r="37" spans="2:28" ht="3.95" customHeight="1">
      <c r="B37" s="84"/>
      <c r="C37" s="73"/>
      <c r="D37" s="80"/>
      <c r="E37" s="79"/>
      <c r="F37" s="38"/>
      <c r="G37" s="176"/>
      <c r="H37" s="38"/>
      <c r="I37" s="183"/>
      <c r="J37" s="38"/>
      <c r="K37" s="185"/>
      <c r="L37" s="30"/>
      <c r="M37" s="30"/>
      <c r="N37" s="38"/>
      <c r="O37" s="67"/>
    </row>
    <row r="38" spans="2:28" ht="16.5" customHeight="1">
      <c r="B38" s="84"/>
      <c r="C38" s="73"/>
      <c r="D38" s="78" t="s">
        <v>116</v>
      </c>
      <c r="E38" s="79" t="str">
        <f ca="1">IF(variantes!$J$32&gt;0,variantes!$J$32,"")</f>
        <v/>
      </c>
      <c r="F38" s="38"/>
      <c r="G38" s="88"/>
      <c r="H38" s="38"/>
      <c r="I38" s="182" t="str">
        <f>IF(ISNUMBER(MV_F2),MV_F2,"")</f>
        <v/>
      </c>
      <c r="J38" s="38"/>
      <c r="K38" s="36"/>
      <c r="L38" s="115" t="s">
        <v>330</v>
      </c>
      <c r="M38" s="30"/>
      <c r="N38" s="38"/>
      <c r="O38" s="65" t="str">
        <f ca="1">IF(AND(ISNUMBER(E38),ISNUMBER(I38)),IF(I38&lt;=E38,"Sí","no"),"")</f>
        <v/>
      </c>
    </row>
    <row r="39" spans="2:28" ht="3.95" customHeight="1">
      <c r="B39" s="84"/>
      <c r="C39" s="73"/>
      <c r="D39" s="80"/>
      <c r="E39" s="79"/>
      <c r="F39" s="38"/>
      <c r="G39" s="176"/>
      <c r="H39" s="38"/>
      <c r="I39" s="183"/>
      <c r="J39" s="38"/>
      <c r="K39" s="185"/>
      <c r="L39" s="30"/>
      <c r="M39" s="30"/>
      <c r="N39" s="38"/>
      <c r="O39" s="67"/>
    </row>
    <row r="40" spans="2:28" ht="16.5" customHeight="1">
      <c r="B40" s="84"/>
      <c r="C40" s="38"/>
      <c r="D40" s="78" t="s">
        <v>117</v>
      </c>
      <c r="E40" s="79" t="str">
        <f ca="1">IF(variantes!$J$32&gt;0,variantes!$J$32,"")</f>
        <v/>
      </c>
      <c r="F40" s="38"/>
      <c r="G40" s="88"/>
      <c r="H40" s="38"/>
      <c r="I40" s="182" t="str">
        <f>IF(ISNUMBER(MV_Pos),MV_Pos,"")</f>
        <v/>
      </c>
      <c r="J40" s="38"/>
      <c r="K40" s="36"/>
      <c r="L40" s="115" t="s">
        <v>330</v>
      </c>
      <c r="M40" s="30"/>
      <c r="N40" s="38"/>
      <c r="O40" s="65" t="str">
        <f ca="1">IF(AND(ISNUMBER(E40),ISNUMBER(I40)),IF(I40&lt;=E40,"Sí","no"),"")</f>
        <v/>
      </c>
    </row>
    <row r="41" spans="2:28" ht="3.95" customHeight="1">
      <c r="B41" s="85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28" ht="16.5" customHeight="1">
      <c r="B42" s="84">
        <v>7</v>
      </c>
      <c r="C42" s="30" t="s">
        <v>23</v>
      </c>
      <c r="D42" s="30"/>
      <c r="E42" s="72" t="str">
        <f ca="1">IF(variantes!$J$33&gt;0,variantes!$J$33,"")</f>
        <v/>
      </c>
      <c r="F42" s="30"/>
      <c r="G42" s="88"/>
      <c r="H42" s="177"/>
      <c r="I42" s="186" t="str">
        <f>IF(ISNUMBER(Techo_U),Techo_U,"")</f>
        <v/>
      </c>
      <c r="J42" s="30"/>
      <c r="K42" s="36"/>
      <c r="L42" s="115" t="s">
        <v>330</v>
      </c>
      <c r="M42" s="30"/>
      <c r="N42" s="30"/>
      <c r="O42" s="554" t="str">
        <f ca="1">IF(AND(ISNUMBER(E42),ISNUMBER(I42)),IF(I42&lt;=E42,"Sí","no"),"")</f>
        <v/>
      </c>
      <c r="P42" s="68"/>
      <c r="AB42" s="134"/>
    </row>
    <row r="43" spans="2:28" ht="15.95" customHeight="1">
      <c r="B43" s="82"/>
      <c r="C43" s="73" t="s">
        <v>14</v>
      </c>
      <c r="D43" s="30"/>
      <c r="E43" s="72"/>
      <c r="F43" s="30"/>
      <c r="G43" s="176"/>
      <c r="H43" s="177"/>
      <c r="I43" s="38"/>
      <c r="J43" s="30"/>
      <c r="K43" s="36"/>
      <c r="L43" s="30" t="s">
        <v>17</v>
      </c>
      <c r="M43" s="30"/>
      <c r="N43" s="30"/>
      <c r="O43" s="556"/>
      <c r="P43" s="68" t="s">
        <v>86</v>
      </c>
    </row>
    <row r="44" spans="2:28" ht="15.95" customHeight="1">
      <c r="B44" s="83"/>
      <c r="C44" s="38"/>
      <c r="D44" s="30"/>
      <c r="E44" s="30"/>
      <c r="F44" s="30"/>
      <c r="G44" s="177"/>
      <c r="H44" s="177"/>
      <c r="I44" s="187"/>
      <c r="J44" s="30"/>
      <c r="K44" s="36"/>
      <c r="L44" s="30" t="s">
        <v>18</v>
      </c>
      <c r="M44" s="30"/>
      <c r="N44" s="30"/>
      <c r="O44" s="555"/>
      <c r="P44" s="68" t="s">
        <v>111</v>
      </c>
    </row>
    <row r="45" spans="2:28" ht="3.95" customHeight="1">
      <c r="B45" s="85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7"/>
    </row>
    <row r="46" spans="2:28" ht="15.95" customHeight="1">
      <c r="B46" s="84">
        <v>8</v>
      </c>
      <c r="C46" s="30" t="s">
        <v>24</v>
      </c>
      <c r="D46" s="30"/>
      <c r="E46" s="72" t="str">
        <f ca="1">IF(variantes!J34&gt;0,variantes!J34,"")</f>
        <v/>
      </c>
      <c r="F46" s="30"/>
      <c r="G46" s="88"/>
      <c r="H46" s="177"/>
      <c r="I46" s="336" t="str">
        <f>IF(camino2=2,"No Aplica", COP)</f>
        <v/>
      </c>
      <c r="J46" s="30"/>
      <c r="K46" s="36"/>
      <c r="L46" s="30" t="s">
        <v>16</v>
      </c>
      <c r="M46" s="30"/>
      <c r="N46" s="30"/>
      <c r="O46" s="554" t="str">
        <f ca="1">IF(camino2=2,"Sí",(IF(AND(ISNUMBER($E$46),ISNUMBER($I$46)),IF($I$46&gt;=$E$46,"Sí","no"),"")))</f>
        <v/>
      </c>
    </row>
    <row r="47" spans="2:28" ht="15.95" customHeight="1">
      <c r="B47" s="83"/>
      <c r="C47" s="74" t="s">
        <v>25</v>
      </c>
      <c r="D47" s="30"/>
      <c r="E47" s="38"/>
      <c r="F47" s="38"/>
      <c r="G47" s="38"/>
      <c r="H47" s="38"/>
      <c r="I47" s="38"/>
      <c r="J47" s="30"/>
      <c r="K47" s="36"/>
      <c r="L47" s="30" t="s">
        <v>26</v>
      </c>
      <c r="M47" s="30"/>
      <c r="N47" s="30"/>
      <c r="O47" s="555"/>
    </row>
    <row r="48" spans="2:28" ht="3.95" customHeight="1">
      <c r="B48" s="83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2:15" ht="12" customHeight="1">
      <c r="B49" s="84">
        <f>variantes!A14</f>
        <v>9</v>
      </c>
      <c r="C49" s="30" t="str">
        <f>variantes!B14</f>
        <v>Los planos indican claramente la composición y valores de las paredes exteriores</v>
      </c>
      <c r="D49" s="38"/>
      <c r="E49" s="38"/>
      <c r="F49" s="38"/>
      <c r="G49" s="38"/>
      <c r="H49" s="38"/>
      <c r="I49" s="38"/>
      <c r="J49" s="30"/>
      <c r="K49" s="30"/>
      <c r="L49" s="30"/>
      <c r="M49" s="30"/>
      <c r="N49" s="30"/>
      <c r="O49" s="341" t="s">
        <v>189</v>
      </c>
    </row>
    <row r="50" spans="2:15" ht="12" customHeight="1">
      <c r="B50" s="84">
        <f>variantes!A15</f>
        <v>10</v>
      </c>
      <c r="C50" s="30" t="str">
        <f>variantes!B15</f>
        <v>Los planos indican claramente la composición y valores de las ventanas exteriores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41" t="s">
        <v>189</v>
      </c>
    </row>
    <row r="51" spans="2:15" ht="12" customHeight="1">
      <c r="B51" s="84">
        <f>variantes!A16</f>
        <v>11</v>
      </c>
      <c r="C51" s="30" t="str">
        <f>variantes!B16</f>
        <v>Los planos indican claramente los elementos de sombreado en ventanas Sur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41" t="s">
        <v>189</v>
      </c>
    </row>
    <row r="52" spans="2:15" ht="12" customHeight="1">
      <c r="B52" s="84">
        <f>variantes!A17</f>
        <v>12</v>
      </c>
      <c r="C52" s="30" t="str">
        <f>variantes!B17</f>
        <v>Los planos indican claramente los elementos de sombreado en ventanas Oeste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41" t="s">
        <v>189</v>
      </c>
    </row>
    <row r="53" spans="2:15" ht="12" customHeight="1">
      <c r="B53" s="84">
        <f>variantes!A18</f>
        <v>13</v>
      </c>
      <c r="C53" s="30" t="str">
        <f>variantes!B18</f>
        <v>Los planos indican claramente el área de elementos opacos y transparentes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41" t="s">
        <v>189</v>
      </c>
    </row>
    <row r="54" spans="2:15" ht="12" customHeight="1">
      <c r="B54" s="84">
        <f>variantes!A19</f>
        <v>14</v>
      </c>
      <c r="C54" s="30" t="str">
        <f>variantes!B19</f>
        <v>Los planos indican claramente la composición y valores del techo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41" t="s">
        <v>189</v>
      </c>
    </row>
    <row r="55" spans="2:15" ht="12" customHeight="1">
      <c r="B55" s="84">
        <f>variantes!A20</f>
        <v>15</v>
      </c>
      <c r="C55" s="30" t="str">
        <f>IF(camino2=2,"No aplica",variantes!B20)</f>
        <v>Los planos indican claramente la instalación del equipo de HVAC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1" t="s">
        <v>189</v>
      </c>
    </row>
    <row r="56" spans="2:15" ht="12" customHeight="1">
      <c r="B56" s="84">
        <f>variantes!A21</f>
        <v>16</v>
      </c>
      <c r="C56" s="30" t="str">
        <f>variantes!B21</f>
        <v>Se entregan certificados y/o fichas técnicas de los materiales que componen las paredes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41" t="s">
        <v>189</v>
      </c>
    </row>
    <row r="57" spans="2:15" ht="12" customHeight="1">
      <c r="B57" s="84">
        <f>variantes!A22</f>
        <v>17</v>
      </c>
      <c r="C57" s="30" t="str">
        <f>variantes!B22</f>
        <v>Se entregan certificados y/o fichas técnicas de los materiales que componen las ventanas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1" t="s">
        <v>189</v>
      </c>
    </row>
    <row r="58" spans="2:15" ht="12" customHeight="1">
      <c r="B58" s="84">
        <f>variantes!A23</f>
        <v>18</v>
      </c>
      <c r="C58" s="30" t="str">
        <f>variantes!B23</f>
        <v>Se entregan certificados y/o fichas técnicas de los materiales que componen el techo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1" t="s">
        <v>189</v>
      </c>
    </row>
    <row r="59" spans="2:15" ht="12" customHeight="1">
      <c r="B59" s="84">
        <f>variantes!A24</f>
        <v>19</v>
      </c>
      <c r="C59" s="30" t="str">
        <f>IF(camino2=2,"No aplica",variantes!B24)</f>
        <v>Se entregan certificados y/o fichas técnicas del sistema de aire acondicionado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1" t="s">
        <v>189</v>
      </c>
    </row>
  </sheetData>
  <sheetProtection algorithmName="SHA-512" hashValue="0EZBwvvRUayVZD/KYDXGKDAfPKcR4iSPy89k6wLYSxzQDQs6loc5yDIIkp8gQAIdKAV7b9I2GN7+pJS5bn6R0g==" saltValue="snLtoE3+kFq0qQG2FnKPng==" spinCount="100000" sheet="1" objects="1" scenarios="1" selectLockedCells="1"/>
  <mergeCells count="21">
    <mergeCell ref="C34:C36"/>
    <mergeCell ref="J4:L5"/>
    <mergeCell ref="M4:O5"/>
    <mergeCell ref="E15:K15"/>
    <mergeCell ref="B6:O6"/>
    <mergeCell ref="L9:M9"/>
    <mergeCell ref="O22:O23"/>
    <mergeCell ref="O25:O26"/>
    <mergeCell ref="L17:M17"/>
    <mergeCell ref="I17:K17"/>
    <mergeCell ref="E13:O13"/>
    <mergeCell ref="E8:O8"/>
    <mergeCell ref="E9:K9"/>
    <mergeCell ref="N9:O9"/>
    <mergeCell ref="E10:O10"/>
    <mergeCell ref="E12:O12"/>
    <mergeCell ref="O46:O47"/>
    <mergeCell ref="O18:O20"/>
    <mergeCell ref="O31:O32"/>
    <mergeCell ref="O28:O29"/>
    <mergeCell ref="O42:O44"/>
  </mergeCells>
  <phoneticPr fontId="15" type="noConversion"/>
  <conditionalFormatting sqref="I22">
    <cfRule type="cellIs" dxfId="40" priority="65" operator="greaterThan">
      <formula>$E$22</formula>
    </cfRule>
    <cfRule type="cellIs" dxfId="39" priority="69" operator="lessThanOrEqual">
      <formula>$E$22</formula>
    </cfRule>
  </conditionalFormatting>
  <conditionalFormatting sqref="I25">
    <cfRule type="cellIs" dxfId="38" priority="64" operator="greaterThan">
      <formula>$E$25</formula>
    </cfRule>
    <cfRule type="cellIs" dxfId="37" priority="68" operator="lessThanOrEqual">
      <formula>$E$25</formula>
    </cfRule>
  </conditionalFormatting>
  <conditionalFormatting sqref="I42">
    <cfRule type="cellIs" dxfId="36" priority="63" operator="greaterThan">
      <formula>$E$42</formula>
    </cfRule>
    <cfRule type="cellIs" dxfId="35" priority="67" operator="lessThanOrEqual">
      <formula>$E$42</formula>
    </cfRule>
  </conditionalFormatting>
  <conditionalFormatting sqref="I34">
    <cfRule type="cellIs" dxfId="34" priority="50" operator="greaterThan">
      <formula>$E$34</formula>
    </cfRule>
    <cfRule type="cellIs" dxfId="33" priority="51" operator="lessThanOrEqual">
      <formula>$E$34</formula>
    </cfRule>
  </conditionalFormatting>
  <conditionalFormatting sqref="I36">
    <cfRule type="cellIs" dxfId="32" priority="41" operator="greaterThan">
      <formula>$E$34</formula>
    </cfRule>
    <cfRule type="cellIs" dxfId="31" priority="42" operator="lessThanOrEqual">
      <formula>$E$34</formula>
    </cfRule>
  </conditionalFormatting>
  <conditionalFormatting sqref="I38">
    <cfRule type="cellIs" dxfId="30" priority="39" operator="greaterThan">
      <formula>$E$34</formula>
    </cfRule>
    <cfRule type="cellIs" dxfId="29" priority="40" operator="lessThanOrEqual">
      <formula>$E$34</formula>
    </cfRule>
  </conditionalFormatting>
  <conditionalFormatting sqref="I40">
    <cfRule type="cellIs" dxfId="28" priority="37" operator="greaterThan">
      <formula>$E$34</formula>
    </cfRule>
    <cfRule type="cellIs" dxfId="27" priority="38" operator="lessThanOrEqual">
      <formula>$E$34</formula>
    </cfRule>
  </conditionalFormatting>
  <conditionalFormatting sqref="I28">
    <cfRule type="cellIs" dxfId="26" priority="35" operator="greaterThanOrEqual">
      <formula>$E$28</formula>
    </cfRule>
    <cfRule type="cellIs" dxfId="25" priority="36" operator="lessThan">
      <formula>$E$28</formula>
    </cfRule>
  </conditionalFormatting>
  <conditionalFormatting sqref="I31">
    <cfRule type="cellIs" dxfId="24" priority="33" operator="greaterThanOrEqual">
      <formula>$E$31</formula>
    </cfRule>
    <cfRule type="cellIs" dxfId="23" priority="34" operator="lessThan">
      <formula>$E$31</formula>
    </cfRule>
  </conditionalFormatting>
  <conditionalFormatting sqref="I18">
    <cfRule type="cellIs" dxfId="22" priority="29" operator="greaterThan">
      <formula>$E$18</formula>
    </cfRule>
    <cfRule type="cellIs" dxfId="21" priority="30" operator="lessThanOrEqual">
      <formula>$E$22</formula>
    </cfRule>
  </conditionalFormatting>
  <conditionalFormatting sqref="E34">
    <cfRule type="cellIs" dxfId="20" priority="21" operator="equal">
      <formula>1</formula>
    </cfRule>
  </conditionalFormatting>
  <conditionalFormatting sqref="E36">
    <cfRule type="cellIs" dxfId="19" priority="20" operator="equal">
      <formula>1</formula>
    </cfRule>
  </conditionalFormatting>
  <conditionalFormatting sqref="E38">
    <cfRule type="cellIs" dxfId="18" priority="19" operator="equal">
      <formula>1</formula>
    </cfRule>
  </conditionalFormatting>
  <conditionalFormatting sqref="E40">
    <cfRule type="cellIs" dxfId="17" priority="18" operator="equal">
      <formula>1</formula>
    </cfRule>
  </conditionalFormatting>
  <conditionalFormatting sqref="E18">
    <cfRule type="expression" dxfId="16" priority="16">
      <formula>IF(vmtf_p=FALSE,1,0)</formula>
    </cfRule>
    <cfRule type="expression" dxfId="15" priority="17">
      <formula>IF(vmtf_p=TRUE,1,0)</formula>
    </cfRule>
  </conditionalFormatting>
  <conditionalFormatting sqref="E22">
    <cfRule type="expression" dxfId="14" priority="14">
      <formula>IF(vmtf_v=FALSE,1,0)</formula>
    </cfRule>
    <cfRule type="expression" dxfId="13" priority="15">
      <formula>IF(vmtf_v=TRUE,1,0)</formula>
    </cfRule>
  </conditionalFormatting>
  <conditionalFormatting sqref="E25">
    <cfRule type="expression" dxfId="12" priority="12">
      <formula>IF(vmtf_g=FALSE,1,0)</formula>
    </cfRule>
    <cfRule type="expression" dxfId="11" priority="13">
      <formula>IF(vmtf_g=TRUE,1,0)</formula>
    </cfRule>
  </conditionalFormatting>
  <conditionalFormatting sqref="E28">
    <cfRule type="expression" dxfId="10" priority="10">
      <formula>IF(vmtf_ss=FALSE,1,0)</formula>
    </cfRule>
    <cfRule type="expression" dxfId="9" priority="11">
      <formula>IF(vmtf_ss=TRUE,1,0)</formula>
    </cfRule>
  </conditionalFormatting>
  <conditionalFormatting sqref="E31">
    <cfRule type="expression" dxfId="8" priority="8">
      <formula>IF(vmtf_so=TRUE,1,0)</formula>
    </cfRule>
    <cfRule type="expression" dxfId="7" priority="9">
      <formula>IF(vmtf_so=FALSE,1,0)</formula>
    </cfRule>
  </conditionalFormatting>
  <conditionalFormatting sqref="E42">
    <cfRule type="expression" dxfId="6" priority="6">
      <formula>IF(vmtf_t=TRUE,1,0)</formula>
    </cfRule>
    <cfRule type="expression" dxfId="5" priority="7">
      <formula>IF(vmtf_t=FALSE,1,0)</formula>
    </cfRule>
  </conditionalFormatting>
  <conditionalFormatting sqref="E46">
    <cfRule type="expression" dxfId="4" priority="4">
      <formula>IF(vmtf_AA=FALSE,1,0)</formula>
    </cfRule>
    <cfRule type="expression" dxfId="3" priority="5">
      <formula>IF(vmtf_AA=TRUE,1,0)</formula>
    </cfRule>
  </conditionalFormatting>
  <conditionalFormatting sqref="L15:M15">
    <cfRule type="expression" dxfId="2" priority="3">
      <formula>IF(camino2&lt;=3,1,0)</formula>
    </cfRule>
  </conditionalFormatting>
  <conditionalFormatting sqref="I46">
    <cfRule type="cellIs" dxfId="1" priority="1" operator="greaterThanOrEqual">
      <formula>$E$46</formula>
    </cfRule>
    <cfRule type="cellIs" dxfId="0" priority="2" operator="lessThan">
      <formula>$E$46</formula>
    </cfRule>
  </conditionalFormatting>
  <dataValidations count="3">
    <dataValidation type="list" allowBlank="1" showInputMessage="1" showErrorMessage="1" sqref="D34 D36 D38 D40">
      <formula1>$R$37:$R$40</formula1>
    </dataValidation>
    <dataValidation type="list" allowBlank="1" showInputMessage="1" showErrorMessage="1" sqref="O49:O59">
      <formula1>sino</formula1>
    </dataValidation>
    <dataValidation type="list" allowBlank="1" showInputMessage="1" showErrorMessage="1" sqref="M15">
      <formula1>INDIRECT(n_var)</formula1>
    </dataValidation>
  </dataValidations>
  <printOptions horizontalCentered="1"/>
  <pageMargins left="0.25" right="0.25" top="0.75" bottom="0.5" header="0.3" footer="0.3"/>
  <pageSetup orientation="portrait" r:id="rId1"/>
  <headerFooter>
    <oddFooter>&amp;L&amp;"Arial (Cuerpo),Normal"&amp;8&amp;K00-046&amp;F&amp;C&amp;"Arial (Cuerpo),Normal"&amp;8&amp;K00-047&amp;A&amp;R&amp;"Arial (Cuerpo),Normal"&amp;8&amp;K00-047Página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55"/>
  <sheetViews>
    <sheetView showGridLines="0" zoomScaleNormal="100" workbookViewId="0">
      <selection activeCell="D4" sqref="D4"/>
    </sheetView>
  </sheetViews>
  <sheetFormatPr baseColWidth="10" defaultColWidth="8.88671875" defaultRowHeight="15"/>
  <cols>
    <col min="1" max="1" width="2.44140625" customWidth="1"/>
    <col min="2" max="2" width="45.109375" bestFit="1" customWidth="1"/>
    <col min="3" max="3" width="4.5546875" customWidth="1"/>
    <col min="4" max="4" width="11.44140625" style="369" bestFit="1" customWidth="1"/>
    <col min="5" max="6" width="10" hidden="1" customWidth="1"/>
    <col min="7" max="7" width="52.44140625" bestFit="1" customWidth="1"/>
  </cols>
  <sheetData>
    <row r="1" spans="2:7" ht="23.25">
      <c r="B1" s="347" t="s">
        <v>436</v>
      </c>
    </row>
    <row r="2" spans="2:7" ht="30">
      <c r="B2" s="368" t="s">
        <v>496</v>
      </c>
      <c r="D2" s="370" t="s">
        <v>437</v>
      </c>
      <c r="E2" s="366" t="s">
        <v>438</v>
      </c>
      <c r="F2" s="367" t="s">
        <v>439</v>
      </c>
    </row>
    <row r="3" spans="2:7" ht="23.25">
      <c r="B3" s="348" t="s">
        <v>440</v>
      </c>
      <c r="D3" s="371" t="s">
        <v>497</v>
      </c>
      <c r="E3" s="349"/>
    </row>
    <row r="4" spans="2:7" s="356" customFormat="1" ht="14.25">
      <c r="B4" s="357" t="s">
        <v>441</v>
      </c>
      <c r="C4" s="357"/>
      <c r="D4" s="391">
        <v>0.222</v>
      </c>
      <c r="E4" s="358">
        <v>0.222</v>
      </c>
      <c r="F4" s="358">
        <v>0.218</v>
      </c>
      <c r="G4" s="356" t="s">
        <v>442</v>
      </c>
    </row>
    <row r="5" spans="2:7" s="356" customFormat="1" ht="14.25">
      <c r="B5" s="359" t="s">
        <v>443</v>
      </c>
      <c r="C5" s="359"/>
      <c r="D5" s="373">
        <v>0.14899999999999999</v>
      </c>
      <c r="E5" s="360">
        <v>0.14899999999999999</v>
      </c>
      <c r="F5" s="358">
        <v>9.9500000000000005E-2</v>
      </c>
      <c r="G5" s="356" t="s">
        <v>444</v>
      </c>
    </row>
    <row r="6" spans="2:7" s="356" customFormat="1" ht="14.25">
      <c r="B6" s="359" t="s">
        <v>445</v>
      </c>
      <c r="C6" s="359"/>
      <c r="D6" s="373">
        <v>0.29799999999999999</v>
      </c>
      <c r="E6" s="360">
        <v>0.29799999999999999</v>
      </c>
      <c r="F6" s="358">
        <v>4.1410000000000002E-2</v>
      </c>
      <c r="G6" s="356" t="s">
        <v>444</v>
      </c>
    </row>
    <row r="7" spans="2:7" s="356" customFormat="1" ht="14.25">
      <c r="B7" s="359" t="s">
        <v>446</v>
      </c>
      <c r="C7" s="359"/>
      <c r="D7" s="373">
        <v>4.4999999999999998E-2</v>
      </c>
      <c r="E7" s="360">
        <v>4.4999999999999998E-2</v>
      </c>
      <c r="F7" s="358">
        <v>3.7229999999999999E-2</v>
      </c>
      <c r="G7" s="356" t="s">
        <v>444</v>
      </c>
    </row>
    <row r="8" spans="2:7" s="356" customFormat="1" ht="14.25">
      <c r="B8" s="359" t="s">
        <v>447</v>
      </c>
      <c r="C8" s="359"/>
      <c r="D8" s="374">
        <v>3.644E-2</v>
      </c>
      <c r="E8" s="361">
        <v>3.644E-2</v>
      </c>
      <c r="F8" s="358">
        <v>3.3000000000000002E-2</v>
      </c>
      <c r="G8" s="356" t="s">
        <v>444</v>
      </c>
    </row>
    <row r="9" spans="2:7" s="356" customFormat="1" ht="14.25">
      <c r="B9" s="359" t="s">
        <v>448</v>
      </c>
      <c r="C9" s="359"/>
      <c r="D9" s="373">
        <v>0.4677</v>
      </c>
      <c r="E9" s="360">
        <v>0.4677</v>
      </c>
      <c r="F9" s="358">
        <v>3.2250000000000001E-2</v>
      </c>
      <c r="G9" s="356" t="s">
        <v>444</v>
      </c>
    </row>
    <row r="10" spans="2:7" s="356" customFormat="1" ht="14.25">
      <c r="B10" s="359" t="s">
        <v>449</v>
      </c>
      <c r="C10" s="359"/>
      <c r="D10" s="373">
        <v>3.5700000000000003E-2</v>
      </c>
      <c r="E10" s="360">
        <v>3.5700000000000003E-2</v>
      </c>
      <c r="F10" s="358">
        <v>2.4799999999999999E-2</v>
      </c>
      <c r="G10" s="356" t="s">
        <v>444</v>
      </c>
    </row>
    <row r="11" spans="2:7" s="356" customFormat="1" ht="14.25">
      <c r="B11" s="359" t="s">
        <v>450</v>
      </c>
      <c r="C11" s="359"/>
      <c r="D11" s="373">
        <v>3.5409999999999997E-2</v>
      </c>
      <c r="E11" s="360">
        <v>3.5409999999999997E-2</v>
      </c>
      <c r="F11" s="358">
        <v>2.077E-2</v>
      </c>
      <c r="G11" s="356" t="s">
        <v>444</v>
      </c>
    </row>
    <row r="12" spans="2:7">
      <c r="D12" s="375"/>
      <c r="E12" s="351"/>
    </row>
    <row r="13" spans="2:7" ht="23.25">
      <c r="B13" s="352" t="s">
        <v>451</v>
      </c>
      <c r="C13" s="353"/>
      <c r="D13" s="371" t="s">
        <v>497</v>
      </c>
      <c r="G13" t="s">
        <v>452</v>
      </c>
    </row>
    <row r="14" spans="2:7" s="356" customFormat="1">
      <c r="B14" s="359" t="s">
        <v>453</v>
      </c>
      <c r="C14" s="362"/>
      <c r="D14" s="373">
        <v>0.5</v>
      </c>
      <c r="G14" s="356" t="s">
        <v>454</v>
      </c>
    </row>
    <row r="15" spans="2:7" s="356" customFormat="1">
      <c r="B15" s="359" t="s">
        <v>455</v>
      </c>
      <c r="C15" s="362"/>
      <c r="D15" s="373">
        <v>1.3</v>
      </c>
      <c r="G15" s="356" t="s">
        <v>456</v>
      </c>
    </row>
    <row r="16" spans="2:7" s="356" customFormat="1">
      <c r="B16" s="359" t="s">
        <v>457</v>
      </c>
      <c r="C16" s="362"/>
      <c r="D16" s="372">
        <v>1</v>
      </c>
      <c r="G16" s="356" t="s">
        <v>456</v>
      </c>
    </row>
    <row r="17" spans="2:7" s="356" customFormat="1">
      <c r="B17" s="359" t="s">
        <v>458</v>
      </c>
      <c r="C17" s="362"/>
      <c r="D17" s="372">
        <v>2.2999999999999998</v>
      </c>
      <c r="G17" s="356" t="s">
        <v>456</v>
      </c>
    </row>
    <row r="18" spans="2:7" s="356" customFormat="1">
      <c r="B18" s="359" t="s">
        <v>459</v>
      </c>
      <c r="C18" s="362"/>
      <c r="D18" s="372">
        <v>1.8</v>
      </c>
      <c r="G18" s="356" t="s">
        <v>456</v>
      </c>
    </row>
    <row r="19" spans="2:7" s="356" customFormat="1">
      <c r="B19" s="359" t="s">
        <v>460</v>
      </c>
      <c r="C19" s="362"/>
      <c r="D19" s="372">
        <v>0.872</v>
      </c>
      <c r="G19" s="356" t="s">
        <v>444</v>
      </c>
    </row>
    <row r="20" spans="2:7" s="356" customFormat="1">
      <c r="B20" s="359" t="s">
        <v>461</v>
      </c>
      <c r="C20" s="362"/>
      <c r="D20" s="372">
        <v>0.69799999999999995</v>
      </c>
      <c r="G20" s="356" t="s">
        <v>444</v>
      </c>
    </row>
    <row r="21" spans="2:7" s="356" customFormat="1" ht="14.25">
      <c r="B21" s="359" t="s">
        <v>462</v>
      </c>
      <c r="C21" s="359"/>
      <c r="D21" s="373">
        <v>0.372</v>
      </c>
      <c r="G21" s="356" t="s">
        <v>444</v>
      </c>
    </row>
    <row r="23" spans="2:7" ht="23.25">
      <c r="B23" s="348" t="s">
        <v>463</v>
      </c>
      <c r="C23" s="353"/>
      <c r="D23" s="371" t="s">
        <v>497</v>
      </c>
    </row>
    <row r="24" spans="2:7" s="356" customFormat="1" ht="14.25">
      <c r="B24" s="359" t="s">
        <v>464</v>
      </c>
      <c r="C24" s="360"/>
      <c r="D24" s="376">
        <v>204</v>
      </c>
      <c r="G24" s="356" t="s">
        <v>444</v>
      </c>
    </row>
    <row r="25" spans="2:7" s="356" customFormat="1" ht="14.25">
      <c r="B25" s="359" t="s">
        <v>465</v>
      </c>
      <c r="C25" s="360"/>
      <c r="D25" s="376">
        <v>372.2</v>
      </c>
      <c r="G25" s="356" t="s">
        <v>444</v>
      </c>
    </row>
    <row r="26" spans="2:7" s="356" customFormat="1" ht="14.25">
      <c r="B26" s="359" t="s">
        <v>466</v>
      </c>
      <c r="C26" s="360"/>
      <c r="D26" s="377">
        <v>52.3</v>
      </c>
      <c r="G26" s="356" t="s">
        <v>444</v>
      </c>
    </row>
    <row r="28" spans="2:7" ht="23.25">
      <c r="B28" s="348" t="s">
        <v>467</v>
      </c>
      <c r="C28" s="353"/>
      <c r="D28" s="371" t="s">
        <v>497</v>
      </c>
    </row>
    <row r="29" spans="2:7" s="356" customFormat="1" ht="14.25">
      <c r="B29" s="359" t="s">
        <v>468</v>
      </c>
      <c r="D29" s="373">
        <v>0.16200000000000001</v>
      </c>
      <c r="G29" s="356" t="s">
        <v>444</v>
      </c>
    </row>
    <row r="30" spans="2:7" s="356" customFormat="1" ht="14.25">
      <c r="B30" s="359" t="s">
        <v>469</v>
      </c>
      <c r="C30" s="359"/>
      <c r="D30" s="373">
        <v>0.13</v>
      </c>
      <c r="G30" s="356" t="s">
        <v>444</v>
      </c>
    </row>
    <row r="31" spans="2:7" s="356" customFormat="1" ht="14.25">
      <c r="B31" s="359" t="s">
        <v>470</v>
      </c>
      <c r="C31" s="359"/>
      <c r="D31" s="373">
        <v>0.18</v>
      </c>
      <c r="G31" s="356" t="s">
        <v>444</v>
      </c>
    </row>
    <row r="32" spans="2:7" s="356" customFormat="1" ht="14.25">
      <c r="B32" s="359" t="s">
        <v>471</v>
      </c>
      <c r="C32" s="359"/>
      <c r="D32" s="373">
        <v>0.16400000000000001</v>
      </c>
      <c r="G32" s="356" t="s">
        <v>444</v>
      </c>
    </row>
    <row r="34" spans="1:7" ht="20.25">
      <c r="B34" s="348" t="s">
        <v>472</v>
      </c>
    </row>
    <row r="35" spans="1:7" s="356" customFormat="1" ht="14.25">
      <c r="A35" s="363"/>
      <c r="B35" s="363" t="s">
        <v>473</v>
      </c>
      <c r="C35" s="363"/>
      <c r="D35" s="372">
        <v>0.19</v>
      </c>
      <c r="G35" s="356" t="s">
        <v>456</v>
      </c>
    </row>
    <row r="36" spans="1:7" s="356" customFormat="1" ht="14.25">
      <c r="B36" s="356" t="s">
        <v>474</v>
      </c>
      <c r="D36" s="372">
        <v>1</v>
      </c>
      <c r="G36" s="356" t="s">
        <v>456</v>
      </c>
    </row>
    <row r="37" spans="1:7" s="356" customFormat="1" ht="14.25">
      <c r="B37" s="356" t="s">
        <v>475</v>
      </c>
      <c r="D37" s="372">
        <v>0.05</v>
      </c>
      <c r="G37" s="356" t="s">
        <v>456</v>
      </c>
    </row>
    <row r="38" spans="1:7" s="356" customFormat="1" ht="14.25">
      <c r="B38" s="363" t="s">
        <v>476</v>
      </c>
      <c r="C38" s="363"/>
      <c r="D38" s="378">
        <v>0.35</v>
      </c>
      <c r="G38" s="356" t="s">
        <v>456</v>
      </c>
    </row>
    <row r="40" spans="1:7" ht="23.25">
      <c r="B40" s="348" t="s">
        <v>477</v>
      </c>
      <c r="C40" s="353"/>
      <c r="D40" s="371" t="s">
        <v>497</v>
      </c>
    </row>
    <row r="41" spans="1:7" ht="15.75">
      <c r="B41" s="566" t="s">
        <v>478</v>
      </c>
      <c r="C41" s="566"/>
      <c r="D41" s="566"/>
      <c r="G41" s="114"/>
    </row>
    <row r="42" spans="1:7" s="356" customFormat="1" ht="14.25">
      <c r="B42" s="364" t="s">
        <v>479</v>
      </c>
      <c r="C42" s="365"/>
      <c r="D42" s="379">
        <v>0.219</v>
      </c>
      <c r="G42" s="356" t="s">
        <v>480</v>
      </c>
    </row>
    <row r="43" spans="1:7" s="356" customFormat="1" ht="14.25">
      <c r="B43" s="364" t="s">
        <v>481</v>
      </c>
      <c r="C43" s="365"/>
      <c r="D43" s="379">
        <v>0.222</v>
      </c>
      <c r="G43" s="356" t="s">
        <v>480</v>
      </c>
    </row>
    <row r="44" spans="1:7" s="356" customFormat="1" ht="14.25">
      <c r="B44" s="364" t="s">
        <v>482</v>
      </c>
      <c r="C44" s="365"/>
      <c r="D44" s="379">
        <v>0.218</v>
      </c>
      <c r="G44" s="356" t="s">
        <v>480</v>
      </c>
    </row>
    <row r="45" spans="1:7" ht="15.75">
      <c r="B45" s="567" t="s">
        <v>483</v>
      </c>
      <c r="C45" s="567"/>
      <c r="D45" s="567"/>
    </row>
    <row r="46" spans="1:7" s="356" customFormat="1" ht="14.25">
      <c r="B46" s="364" t="s">
        <v>484</v>
      </c>
      <c r="C46" s="360"/>
      <c r="D46" s="379">
        <v>0.35</v>
      </c>
      <c r="G46" s="356" t="s">
        <v>485</v>
      </c>
    </row>
    <row r="47" spans="1:7" s="356" customFormat="1" ht="14.25">
      <c r="B47" s="364" t="s">
        <v>486</v>
      </c>
      <c r="C47" s="360"/>
      <c r="D47" s="379">
        <v>0.33</v>
      </c>
      <c r="G47" s="356" t="s">
        <v>485</v>
      </c>
    </row>
    <row r="48" spans="1:7" s="356" customFormat="1" ht="14.25">
      <c r="B48" s="364" t="s">
        <v>487</v>
      </c>
      <c r="C48" s="360"/>
      <c r="D48" s="379">
        <v>0.28999999999999998</v>
      </c>
      <c r="G48" s="356" t="s">
        <v>485</v>
      </c>
    </row>
    <row r="49" spans="2:7" ht="15.75">
      <c r="B49" s="355" t="s">
        <v>488</v>
      </c>
      <c r="C49" s="355"/>
      <c r="D49" s="380">
        <v>1.1000000000000001</v>
      </c>
      <c r="G49" s="114" t="s">
        <v>489</v>
      </c>
    </row>
    <row r="50" spans="2:7">
      <c r="B50" s="354"/>
      <c r="C50" s="350"/>
      <c r="D50" s="380"/>
      <c r="G50" t="s">
        <v>485</v>
      </c>
    </row>
    <row r="51" spans="2:7" ht="20.25">
      <c r="B51" s="348" t="s">
        <v>490</v>
      </c>
      <c r="C51" s="353"/>
      <c r="D51" s="381"/>
    </row>
    <row r="52" spans="2:7" s="356" customFormat="1" ht="14.25">
      <c r="B52" s="359" t="s">
        <v>491</v>
      </c>
      <c r="C52" s="360"/>
      <c r="D52" s="373">
        <v>0.6</v>
      </c>
      <c r="G52" s="363" t="s">
        <v>492</v>
      </c>
    </row>
    <row r="53" spans="2:7" s="356" customFormat="1" ht="14.25">
      <c r="B53" s="364" t="s">
        <v>493</v>
      </c>
      <c r="C53" s="365"/>
      <c r="D53" s="379">
        <v>0.8</v>
      </c>
      <c r="G53" s="363" t="s">
        <v>492</v>
      </c>
    </row>
    <row r="54" spans="2:7" s="356" customFormat="1" ht="14.25">
      <c r="B54" s="364" t="s">
        <v>494</v>
      </c>
      <c r="C54" s="365"/>
      <c r="D54" s="379">
        <v>8</v>
      </c>
      <c r="G54" s="363" t="s">
        <v>492</v>
      </c>
    </row>
    <row r="55" spans="2:7" s="356" customFormat="1" ht="14.25">
      <c r="B55" s="364" t="s">
        <v>495</v>
      </c>
      <c r="C55" s="365"/>
      <c r="D55" s="379">
        <v>1.74</v>
      </c>
      <c r="G55" s="363" t="s">
        <v>489</v>
      </c>
    </row>
  </sheetData>
  <sheetProtection password="CC6D" sheet="1" objects="1" scenarios="1" selectLockedCells="1"/>
  <protectedRanges>
    <protectedRange sqref="D4:D11 D14:D21 D24:D26 D29:D32 D35:D38 D42:D44 D46:D49 D52:D55" name="Range1"/>
  </protectedRanges>
  <mergeCells count="2">
    <mergeCell ref="B41:D41"/>
    <mergeCell ref="B45:D4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N30"/>
  <sheetViews>
    <sheetView showGridLines="0" showRowColHeaders="0" tabSelected="1" zoomScaleNormal="100" workbookViewId="0">
      <selection activeCell="N24" sqref="N24"/>
    </sheetView>
  </sheetViews>
  <sheetFormatPr baseColWidth="10" defaultColWidth="8.88671875" defaultRowHeight="15"/>
  <cols>
    <col min="1" max="1" width="2" bestFit="1" customWidth="1"/>
    <col min="2" max="2" width="58.44140625" bestFit="1" customWidth="1"/>
    <col min="3" max="3" width="8.33203125" style="369" bestFit="1" customWidth="1"/>
    <col min="4" max="4" width="9.44140625" style="369" bestFit="1" customWidth="1"/>
  </cols>
  <sheetData>
    <row r="1" spans="2:14" ht="20.25">
      <c r="B1" s="382" t="s">
        <v>522</v>
      </c>
      <c r="C1" s="384" t="s">
        <v>44</v>
      </c>
      <c r="D1" s="385" t="s">
        <v>45</v>
      </c>
      <c r="F1" s="430"/>
      <c r="G1" s="430"/>
      <c r="H1" s="430"/>
      <c r="I1" s="430"/>
      <c r="J1" s="430"/>
      <c r="K1" s="430"/>
      <c r="L1" s="430"/>
      <c r="M1" s="430"/>
      <c r="N1" s="430"/>
    </row>
    <row r="2" spans="2:14" ht="28.5">
      <c r="B2" s="383" t="s">
        <v>496</v>
      </c>
      <c r="C2" s="384"/>
      <c r="D2" s="386" t="s">
        <v>14</v>
      </c>
      <c r="F2" s="430"/>
      <c r="G2" s="430"/>
      <c r="H2" s="430"/>
      <c r="I2" s="430"/>
      <c r="J2" s="430"/>
      <c r="K2" s="430"/>
      <c r="L2" s="430"/>
      <c r="M2" s="430"/>
      <c r="N2" s="430"/>
    </row>
    <row r="3" spans="2:14" s="356" customFormat="1" ht="14.25" customHeight="1">
      <c r="B3" s="359" t="s">
        <v>498</v>
      </c>
      <c r="C3" s="387">
        <v>0.82</v>
      </c>
      <c r="D3" s="377">
        <v>5.7</v>
      </c>
      <c r="F3" s="430"/>
      <c r="G3" s="430"/>
      <c r="H3" s="430"/>
      <c r="I3" s="430"/>
      <c r="J3" s="430"/>
      <c r="K3" s="430"/>
      <c r="L3" s="430"/>
      <c r="M3" s="430"/>
      <c r="N3" s="430"/>
    </row>
    <row r="4" spans="2:14" s="356" customFormat="1" ht="14.25" customHeight="1">
      <c r="B4" s="359" t="s">
        <v>499</v>
      </c>
      <c r="C4" s="387">
        <v>0.57999999999999996</v>
      </c>
      <c r="D4" s="377">
        <v>5.7</v>
      </c>
      <c r="F4" s="430"/>
      <c r="G4" s="430"/>
      <c r="H4" s="430"/>
      <c r="I4" s="430"/>
      <c r="J4" s="430"/>
      <c r="K4" s="430"/>
      <c r="L4" s="430"/>
      <c r="M4" s="430"/>
      <c r="N4" s="430"/>
    </row>
    <row r="5" spans="2:14" s="356" customFormat="1" ht="14.25" customHeight="1">
      <c r="B5" s="359" t="s">
        <v>500</v>
      </c>
      <c r="C5" s="387">
        <v>0.62</v>
      </c>
      <c r="D5" s="377">
        <v>5.7</v>
      </c>
      <c r="F5" s="430"/>
      <c r="G5" s="430"/>
      <c r="H5" s="430"/>
      <c r="I5" s="430"/>
      <c r="J5" s="430"/>
      <c r="K5" s="430"/>
      <c r="L5" s="430"/>
      <c r="M5" s="430"/>
      <c r="N5" s="430"/>
    </row>
    <row r="6" spans="2:14" s="356" customFormat="1" ht="14.25" customHeight="1">
      <c r="B6" s="359" t="s">
        <v>501</v>
      </c>
      <c r="C6" s="387">
        <v>0.62</v>
      </c>
      <c r="D6" s="377">
        <v>5.7</v>
      </c>
      <c r="F6" s="430"/>
      <c r="G6" s="430"/>
      <c r="H6" s="430"/>
      <c r="I6" s="430"/>
      <c r="J6" s="430"/>
      <c r="K6" s="430"/>
      <c r="L6" s="430"/>
      <c r="M6" s="430"/>
      <c r="N6" s="430"/>
    </row>
    <row r="7" spans="2:14" s="356" customFormat="1" ht="14.25" customHeight="1">
      <c r="B7" s="359" t="s">
        <v>502</v>
      </c>
      <c r="C7" s="387">
        <v>0.53</v>
      </c>
      <c r="D7" s="377">
        <v>5.7</v>
      </c>
      <c r="F7" s="430"/>
      <c r="G7" s="430"/>
      <c r="H7" s="430"/>
      <c r="I7" s="430"/>
      <c r="J7" s="430"/>
      <c r="K7" s="430"/>
      <c r="L7" s="430"/>
      <c r="M7" s="430"/>
      <c r="N7" s="430"/>
    </row>
    <row r="8" spans="2:14" s="356" customFormat="1" ht="14.25" customHeight="1">
      <c r="B8" s="359" t="s">
        <v>503</v>
      </c>
      <c r="C8" s="387">
        <v>0.35</v>
      </c>
      <c r="D8" s="377">
        <v>5.7</v>
      </c>
      <c r="F8" s="430"/>
      <c r="G8" s="430"/>
      <c r="H8" s="430"/>
      <c r="I8" s="430"/>
      <c r="J8" s="430"/>
      <c r="K8" s="430"/>
      <c r="L8" s="430"/>
      <c r="M8" s="430"/>
      <c r="N8" s="430"/>
    </row>
    <row r="9" spans="2:14" s="356" customFormat="1" ht="14.25" customHeight="1">
      <c r="B9" s="359" t="s">
        <v>504</v>
      </c>
      <c r="C9" s="387">
        <v>0.53</v>
      </c>
      <c r="D9" s="377">
        <v>3.7</v>
      </c>
      <c r="F9" s="430"/>
      <c r="G9" s="430"/>
      <c r="H9" s="430"/>
      <c r="I9" s="430"/>
      <c r="J9" s="430"/>
      <c r="K9" s="430"/>
      <c r="L9" s="430"/>
      <c r="M9" s="430"/>
      <c r="N9" s="430"/>
    </row>
    <row r="10" spans="2:14" s="356" customFormat="1" ht="14.25" customHeight="1">
      <c r="B10" s="359" t="s">
        <v>505</v>
      </c>
      <c r="C10" s="387">
        <v>0.34</v>
      </c>
      <c r="D10" s="377">
        <v>3.7</v>
      </c>
      <c r="F10" s="430"/>
      <c r="G10" s="430"/>
      <c r="H10" s="430"/>
      <c r="I10" s="430"/>
      <c r="J10" s="430"/>
      <c r="K10" s="430"/>
      <c r="L10" s="430"/>
      <c r="M10" s="430"/>
      <c r="N10" s="430"/>
    </row>
    <row r="11" spans="2:14" s="356" customFormat="1" ht="14.25" customHeight="1">
      <c r="B11" s="359" t="s">
        <v>506</v>
      </c>
      <c r="C11" s="387">
        <v>0.77</v>
      </c>
      <c r="D11" s="377">
        <v>2.9</v>
      </c>
      <c r="F11" s="430"/>
      <c r="G11" s="430"/>
      <c r="H11" s="430"/>
      <c r="I11" s="430"/>
      <c r="J11" s="430"/>
      <c r="K11" s="430"/>
      <c r="L11" s="430"/>
      <c r="M11" s="430"/>
      <c r="N11" s="430"/>
    </row>
    <row r="12" spans="2:14" s="356" customFormat="1" ht="14.25" customHeight="1">
      <c r="B12" s="359" t="s">
        <v>507</v>
      </c>
      <c r="C12" s="387">
        <v>0.71</v>
      </c>
      <c r="D12" s="377">
        <v>2.8</v>
      </c>
      <c r="F12" s="430"/>
      <c r="G12" s="430"/>
      <c r="H12" s="430"/>
      <c r="I12" s="430"/>
      <c r="J12" s="430"/>
      <c r="K12" s="430"/>
      <c r="L12" s="430"/>
      <c r="M12" s="430"/>
      <c r="N12" s="430"/>
    </row>
    <row r="13" spans="2:14" s="356" customFormat="1" ht="14.25" customHeight="1">
      <c r="B13" s="359" t="s">
        <v>508</v>
      </c>
      <c r="C13" s="387">
        <v>0.45</v>
      </c>
      <c r="D13" s="377">
        <v>2.8</v>
      </c>
      <c r="F13" s="430"/>
      <c r="G13" s="430"/>
      <c r="H13" s="430"/>
      <c r="I13" s="430"/>
      <c r="J13" s="430"/>
      <c r="K13" s="430"/>
      <c r="L13" s="430"/>
      <c r="M13" s="430"/>
      <c r="N13" s="430"/>
    </row>
    <row r="14" spans="2:14" s="356" customFormat="1" ht="14.25" customHeight="1">
      <c r="B14" s="359" t="s">
        <v>509</v>
      </c>
      <c r="C14" s="387">
        <v>0.77</v>
      </c>
      <c r="D14" s="377">
        <v>2.7</v>
      </c>
      <c r="F14" s="430"/>
      <c r="G14" s="430"/>
      <c r="H14" s="430"/>
      <c r="I14" s="430"/>
      <c r="J14" s="430"/>
      <c r="K14" s="430"/>
      <c r="L14" s="430"/>
      <c r="M14" s="430"/>
      <c r="N14" s="430"/>
    </row>
    <row r="15" spans="2:14" s="356" customFormat="1" ht="14.25" customHeight="1">
      <c r="C15" s="388"/>
      <c r="D15" s="388"/>
      <c r="F15" s="430"/>
      <c r="G15" s="430"/>
      <c r="H15" s="430"/>
      <c r="I15" s="430"/>
      <c r="J15" s="430"/>
      <c r="K15" s="430"/>
      <c r="L15" s="430"/>
      <c r="M15" s="430"/>
      <c r="N15" s="430"/>
    </row>
    <row r="16" spans="2:14" s="356" customFormat="1" ht="14.25" customHeight="1">
      <c r="B16" s="356" t="s">
        <v>510</v>
      </c>
      <c r="C16" s="388"/>
      <c r="D16" s="388"/>
      <c r="F16" s="430"/>
      <c r="G16" s="430"/>
      <c r="H16" s="430"/>
      <c r="I16" s="430"/>
      <c r="J16" s="430"/>
      <c r="K16" s="430"/>
      <c r="L16" s="430"/>
      <c r="M16" s="430"/>
      <c r="N16" s="430"/>
    </row>
    <row r="17" spans="2:14" s="356" customFormat="1" ht="14.25" customHeight="1">
      <c r="B17" s="356" t="s">
        <v>511</v>
      </c>
      <c r="C17" s="388"/>
      <c r="D17" s="388"/>
      <c r="F17" s="430"/>
      <c r="G17" s="430"/>
      <c r="H17" s="430"/>
      <c r="I17" s="430"/>
      <c r="J17" s="430"/>
      <c r="K17" s="430"/>
      <c r="L17" s="430"/>
      <c r="M17" s="430"/>
      <c r="N17" s="430"/>
    </row>
    <row r="18" spans="2:14">
      <c r="F18" s="430"/>
      <c r="G18" s="430"/>
      <c r="H18" s="430"/>
      <c r="I18" s="430"/>
      <c r="J18" s="430"/>
      <c r="K18" s="430"/>
      <c r="L18" s="430"/>
      <c r="M18" s="430"/>
      <c r="N18" s="430"/>
    </row>
    <row r="19" spans="2:14" ht="20.25">
      <c r="B19" s="382" t="s">
        <v>512</v>
      </c>
      <c r="C19" s="389"/>
      <c r="D19" s="385" t="s">
        <v>45</v>
      </c>
      <c r="F19" s="430"/>
      <c r="G19" s="430"/>
      <c r="H19" s="430"/>
      <c r="I19" s="430"/>
      <c r="J19" s="430"/>
      <c r="K19" s="430"/>
      <c r="L19" s="430"/>
      <c r="M19" s="430"/>
      <c r="N19" s="430"/>
    </row>
    <row r="20" spans="2:14" ht="18.75" customHeight="1">
      <c r="B20" s="382"/>
      <c r="C20" s="389"/>
      <c r="D20" s="386" t="s">
        <v>14</v>
      </c>
      <c r="F20" s="430"/>
      <c r="G20" s="430"/>
      <c r="H20" s="430"/>
      <c r="I20" s="430"/>
      <c r="J20" s="430"/>
      <c r="K20" s="430"/>
      <c r="L20" s="430"/>
      <c r="M20" s="430"/>
      <c r="N20" s="430"/>
    </row>
    <row r="21" spans="2:14" s="356" customFormat="1" ht="14.25" customHeight="1">
      <c r="B21" s="359" t="s">
        <v>513</v>
      </c>
      <c r="C21" s="390"/>
      <c r="D21" s="377">
        <v>5.7</v>
      </c>
      <c r="F21" s="430"/>
      <c r="G21" s="430"/>
      <c r="H21" s="430"/>
      <c r="I21" s="430"/>
      <c r="J21" s="430"/>
      <c r="K21" s="430"/>
      <c r="L21" s="430"/>
      <c r="M21" s="430"/>
      <c r="N21" s="430"/>
    </row>
    <row r="22" spans="2:14" s="356" customFormat="1" ht="14.25" customHeight="1">
      <c r="B22" s="359" t="s">
        <v>514</v>
      </c>
      <c r="C22" s="390"/>
      <c r="D22" s="377">
        <v>4</v>
      </c>
      <c r="F22" s="430"/>
      <c r="G22" s="430"/>
      <c r="H22" s="430"/>
      <c r="I22" s="430"/>
      <c r="J22" s="430"/>
      <c r="K22" s="430"/>
      <c r="L22" s="430"/>
      <c r="M22" s="430"/>
      <c r="N22" s="430"/>
    </row>
    <row r="23" spans="2:14" s="356" customFormat="1" ht="14.25">
      <c r="B23" s="359" t="s">
        <v>515</v>
      </c>
      <c r="C23" s="390"/>
      <c r="D23" s="377">
        <v>2.2000000000000002</v>
      </c>
    </row>
    <row r="24" spans="2:14" s="356" customFormat="1" ht="14.25">
      <c r="B24" s="359" t="s">
        <v>516</v>
      </c>
      <c r="C24" s="390"/>
      <c r="D24" s="377">
        <v>2</v>
      </c>
    </row>
    <row r="25" spans="2:14" s="356" customFormat="1" ht="14.25">
      <c r="B25" s="359" t="s">
        <v>517</v>
      </c>
      <c r="C25" s="390"/>
      <c r="D25" s="377">
        <v>2.2000000000000002</v>
      </c>
    </row>
    <row r="26" spans="2:14" s="356" customFormat="1" ht="14.25">
      <c r="B26" s="359" t="s">
        <v>518</v>
      </c>
      <c r="C26" s="390"/>
      <c r="D26" s="377">
        <v>1.8</v>
      </c>
    </row>
    <row r="27" spans="2:14" s="356" customFormat="1" ht="14.25">
      <c r="B27" s="359" t="s">
        <v>519</v>
      </c>
      <c r="C27" s="390"/>
      <c r="D27" s="377">
        <v>0.75</v>
      </c>
    </row>
    <row r="28" spans="2:14" s="356" customFormat="1" ht="14.25">
      <c r="B28" s="359" t="s">
        <v>520</v>
      </c>
      <c r="C28" s="390"/>
      <c r="D28" s="377">
        <v>0.72</v>
      </c>
    </row>
    <row r="29" spans="2:14" s="356" customFormat="1" ht="14.25">
      <c r="B29" s="359"/>
      <c r="C29" s="390"/>
      <c r="D29" s="390"/>
    </row>
    <row r="30" spans="2:14" s="356" customFormat="1" ht="14.25">
      <c r="B30" s="356" t="s">
        <v>521</v>
      </c>
      <c r="C30" s="388"/>
      <c r="D30" s="388"/>
    </row>
  </sheetData>
  <sheetProtection password="CC6D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66"/>
  <sheetViews>
    <sheetView topLeftCell="A20" zoomScale="90" zoomScaleNormal="90" workbookViewId="0">
      <selection activeCell="C37" sqref="C37"/>
    </sheetView>
  </sheetViews>
  <sheetFormatPr baseColWidth="10" defaultColWidth="7.109375" defaultRowHeight="15"/>
  <cols>
    <col min="1" max="1" width="37.5546875" style="89" customWidth="1"/>
    <col min="2" max="2" width="4.77734375" style="89" bestFit="1" customWidth="1"/>
    <col min="3" max="3" width="5" style="89" bestFit="1" customWidth="1"/>
    <col min="4" max="4" width="11.21875" style="89" bestFit="1" customWidth="1"/>
    <col min="5" max="5" width="6.109375" style="89" customWidth="1"/>
    <col min="6" max="6" width="12.44140625" style="89" customWidth="1"/>
    <col min="7" max="7" width="3.6640625" customWidth="1"/>
    <col min="9" max="9" width="11.44140625" style="89" bestFit="1" customWidth="1"/>
    <col min="10" max="10" width="9.88671875" bestFit="1" customWidth="1"/>
    <col min="11" max="11" width="8.33203125" bestFit="1" customWidth="1"/>
    <col min="12" max="12" width="6.33203125" bestFit="1" customWidth="1"/>
    <col min="13" max="13" width="6.77734375" bestFit="1" customWidth="1"/>
    <col min="14" max="14" width="2.33203125" customWidth="1"/>
    <col min="15" max="15" width="18.6640625" bestFit="1" customWidth="1"/>
    <col min="16" max="16" width="4.6640625" bestFit="1" customWidth="1"/>
  </cols>
  <sheetData>
    <row r="1" spans="1:16" ht="36.75">
      <c r="A1" s="276" t="s">
        <v>192</v>
      </c>
      <c r="B1" s="277" t="s">
        <v>193</v>
      </c>
      <c r="C1" s="277" t="s">
        <v>194</v>
      </c>
      <c r="D1" s="277" t="s">
        <v>195</v>
      </c>
      <c r="E1" s="278" t="s">
        <v>196</v>
      </c>
      <c r="F1" s="277" t="s">
        <v>197</v>
      </c>
      <c r="G1" s="38"/>
      <c r="H1" s="279" t="s">
        <v>198</v>
      </c>
      <c r="I1" s="280" t="s">
        <v>199</v>
      </c>
      <c r="J1" s="38"/>
      <c r="K1" s="279" t="s">
        <v>200</v>
      </c>
      <c r="L1" s="279" t="s">
        <v>201</v>
      </c>
      <c r="M1" s="279" t="s">
        <v>202</v>
      </c>
      <c r="N1" s="38"/>
      <c r="O1" s="279" t="s">
        <v>203</v>
      </c>
      <c r="P1" s="279" t="s">
        <v>204</v>
      </c>
    </row>
    <row r="2" spans="1:16" ht="15.75">
      <c r="A2" s="281"/>
      <c r="B2" s="282"/>
      <c r="C2" s="282"/>
      <c r="D2" s="282"/>
      <c r="E2" s="282"/>
      <c r="F2" s="282"/>
      <c r="G2" s="38"/>
      <c r="H2" s="283">
        <v>1</v>
      </c>
      <c r="I2" s="284" t="s">
        <v>128</v>
      </c>
      <c r="J2" s="283"/>
      <c r="K2" s="283">
        <v>2019</v>
      </c>
      <c r="L2" s="285">
        <v>1</v>
      </c>
      <c r="M2" s="285">
        <f ca="1">IF(Evaluacion!O18="Sí",1,0)</f>
        <v>0</v>
      </c>
      <c r="N2" s="38"/>
      <c r="O2" s="286" t="s">
        <v>205</v>
      </c>
      <c r="P2" s="287">
        <v>16</v>
      </c>
    </row>
    <row r="3" spans="1:16" ht="15.75">
      <c r="A3" s="288" t="s">
        <v>190</v>
      </c>
      <c r="B3" s="289" t="s">
        <v>206</v>
      </c>
      <c r="C3" s="85">
        <v>0</v>
      </c>
      <c r="D3" s="289" t="s">
        <v>207</v>
      </c>
      <c r="E3" s="289"/>
      <c r="F3" s="85"/>
      <c r="G3" s="38"/>
      <c r="H3" s="283">
        <v>2</v>
      </c>
      <c r="I3" s="284" t="s">
        <v>129</v>
      </c>
      <c r="J3" s="283"/>
      <c r="K3" s="283">
        <v>2020</v>
      </c>
      <c r="L3" s="285">
        <v>2</v>
      </c>
      <c r="M3" s="285">
        <f ca="1">IF(Evaluacion!O22="Sí",1,0)</f>
        <v>0</v>
      </c>
      <c r="N3" s="38"/>
      <c r="O3" s="286" t="s">
        <v>208</v>
      </c>
      <c r="P3" s="287">
        <v>14</v>
      </c>
    </row>
    <row r="4" spans="1:16" ht="15.75">
      <c r="A4" s="288" t="s">
        <v>209</v>
      </c>
      <c r="B4" s="289" t="s">
        <v>206</v>
      </c>
      <c r="C4" s="85">
        <v>0</v>
      </c>
      <c r="D4" s="289" t="s">
        <v>210</v>
      </c>
      <c r="E4" s="289"/>
      <c r="F4" s="85" t="s">
        <v>211</v>
      </c>
      <c r="G4" s="38"/>
      <c r="H4" s="283">
        <v>3</v>
      </c>
      <c r="I4" s="284" t="s">
        <v>130</v>
      </c>
      <c r="J4" s="283"/>
      <c r="K4" s="283">
        <v>2021</v>
      </c>
      <c r="L4" s="285">
        <v>3</v>
      </c>
      <c r="M4" s="285">
        <f ca="1">IF(Evaluacion!O25="Sí",1,0)</f>
        <v>0</v>
      </c>
      <c r="N4" s="38"/>
      <c r="O4" s="286" t="s">
        <v>212</v>
      </c>
      <c r="P4" s="287">
        <v>24</v>
      </c>
    </row>
    <row r="5" spans="1:16" ht="15.75">
      <c r="A5" s="288" t="s">
        <v>213</v>
      </c>
      <c r="B5" s="289" t="s">
        <v>206</v>
      </c>
      <c r="C5" s="290">
        <v>1500</v>
      </c>
      <c r="D5" s="289" t="s">
        <v>214</v>
      </c>
      <c r="E5" s="291" t="s">
        <v>215</v>
      </c>
      <c r="F5" s="85" t="s">
        <v>216</v>
      </c>
      <c r="G5" s="38"/>
      <c r="H5" s="283">
        <v>4</v>
      </c>
      <c r="I5" s="284" t="s">
        <v>131</v>
      </c>
      <c r="J5" s="283"/>
      <c r="K5" s="283">
        <v>2022</v>
      </c>
      <c r="L5" s="285">
        <v>4</v>
      </c>
      <c r="M5" s="285">
        <f ca="1">IF(Evaluacion!O28="Sí",1,0)</f>
        <v>0</v>
      </c>
      <c r="N5" s="38"/>
      <c r="O5" s="286" t="s">
        <v>217</v>
      </c>
      <c r="P5" s="287">
        <v>31</v>
      </c>
    </row>
    <row r="6" spans="1:16" ht="15.75">
      <c r="A6" s="288" t="s">
        <v>523</v>
      </c>
      <c r="B6" s="289" t="s">
        <v>206</v>
      </c>
      <c r="C6" s="85">
        <v>0</v>
      </c>
      <c r="D6" s="289" t="s">
        <v>207</v>
      </c>
      <c r="E6" s="289"/>
      <c r="F6" s="85"/>
      <c r="G6" s="38"/>
      <c r="H6" s="283">
        <v>5</v>
      </c>
      <c r="I6" s="284" t="s">
        <v>132</v>
      </c>
      <c r="J6" s="283"/>
      <c r="K6" s="283">
        <v>2023</v>
      </c>
      <c r="L6" s="285">
        <v>5</v>
      </c>
      <c r="M6" s="285">
        <f ca="1">IF(Evaluacion!O31="Sí",1,0)</f>
        <v>0</v>
      </c>
      <c r="N6" s="38"/>
      <c r="O6" s="286" t="s">
        <v>218</v>
      </c>
      <c r="P6" s="287">
        <v>60</v>
      </c>
    </row>
    <row r="7" spans="1:16" ht="15.75">
      <c r="A7" s="288" t="s">
        <v>219</v>
      </c>
      <c r="B7" s="289" t="s">
        <v>206</v>
      </c>
      <c r="C7" s="290">
        <v>1500</v>
      </c>
      <c r="D7" s="289" t="s">
        <v>214</v>
      </c>
      <c r="E7" s="291" t="s">
        <v>215</v>
      </c>
      <c r="F7" s="85" t="s">
        <v>220</v>
      </c>
      <c r="G7" s="38"/>
      <c r="H7" s="283">
        <v>6</v>
      </c>
      <c r="I7" s="284" t="s">
        <v>133</v>
      </c>
      <c r="J7" s="283"/>
      <c r="K7" s="38"/>
      <c r="L7" s="285">
        <v>6.1</v>
      </c>
      <c r="M7" s="285">
        <f ca="1">IF(Evaluacion!O34="Sí",1,0)</f>
        <v>0</v>
      </c>
      <c r="N7" s="38"/>
      <c r="O7" s="286" t="s">
        <v>221</v>
      </c>
      <c r="P7" s="287">
        <v>1</v>
      </c>
    </row>
    <row r="8" spans="1:16" ht="15.75">
      <c r="A8" s="288" t="s">
        <v>222</v>
      </c>
      <c r="B8" s="289" t="s">
        <v>206</v>
      </c>
      <c r="C8" s="85">
        <v>0</v>
      </c>
      <c r="D8" s="289" t="s">
        <v>210</v>
      </c>
      <c r="E8" s="289"/>
      <c r="F8" s="85" t="s">
        <v>211</v>
      </c>
      <c r="G8" s="38"/>
      <c r="H8" s="283">
        <v>7</v>
      </c>
      <c r="I8" s="284" t="s">
        <v>134</v>
      </c>
      <c r="J8" s="283"/>
      <c r="K8" s="38"/>
      <c r="L8" s="285">
        <v>6.2</v>
      </c>
      <c r="M8" s="285">
        <f ca="1">IF(Evaluacion!O36="Sí",1,0)</f>
        <v>0</v>
      </c>
      <c r="N8" s="38"/>
      <c r="O8" s="286" t="s">
        <v>223</v>
      </c>
      <c r="P8" s="287">
        <v>57</v>
      </c>
    </row>
    <row r="9" spans="1:16" ht="15.75">
      <c r="A9" s="288" t="s">
        <v>224</v>
      </c>
      <c r="B9" s="289" t="s">
        <v>206</v>
      </c>
      <c r="C9" s="290">
        <v>1500</v>
      </c>
      <c r="D9" s="289" t="s">
        <v>214</v>
      </c>
      <c r="E9" s="291" t="s">
        <v>215</v>
      </c>
      <c r="F9" s="85" t="s">
        <v>220</v>
      </c>
      <c r="G9" s="38"/>
      <c r="H9" s="283">
        <v>8</v>
      </c>
      <c r="I9" s="284" t="s">
        <v>135</v>
      </c>
      <c r="J9" s="283"/>
      <c r="K9" s="38"/>
      <c r="L9" s="285">
        <v>6.3</v>
      </c>
      <c r="M9" s="285">
        <f ca="1">IF(Evaluacion!O38="Sí",1,0)</f>
        <v>0</v>
      </c>
      <c r="N9" s="38"/>
      <c r="O9" s="286" t="s">
        <v>225</v>
      </c>
      <c r="P9" s="287">
        <v>146</v>
      </c>
    </row>
    <row r="10" spans="1:16" ht="15.75">
      <c r="A10" s="288" t="s">
        <v>226</v>
      </c>
      <c r="B10" s="289" t="s">
        <v>206</v>
      </c>
      <c r="C10" s="292">
        <v>50000</v>
      </c>
      <c r="D10" s="289" t="s">
        <v>214</v>
      </c>
      <c r="E10" s="291" t="s">
        <v>215</v>
      </c>
      <c r="F10" s="85" t="s">
        <v>227</v>
      </c>
      <c r="G10" s="38"/>
      <c r="H10" s="283">
        <v>9</v>
      </c>
      <c r="I10" s="284" t="s">
        <v>136</v>
      </c>
      <c r="J10" s="283"/>
      <c r="K10" s="283"/>
      <c r="L10" s="285">
        <v>6.4</v>
      </c>
      <c r="M10" s="285">
        <f ca="1">IF(Evaluacion!O40="Sí",1,0)</f>
        <v>0</v>
      </c>
      <c r="N10" s="38"/>
      <c r="O10" s="38"/>
      <c r="P10" s="38"/>
    </row>
    <row r="11" spans="1:16" ht="15.75">
      <c r="A11" s="288" t="s">
        <v>228</v>
      </c>
      <c r="B11" s="289" t="s">
        <v>206</v>
      </c>
      <c r="C11" s="290">
        <v>1500</v>
      </c>
      <c r="D11" s="289" t="s">
        <v>214</v>
      </c>
      <c r="E11" s="291" t="s">
        <v>215</v>
      </c>
      <c r="F11" s="85" t="s">
        <v>216</v>
      </c>
      <c r="G11" s="38"/>
      <c r="H11" s="283">
        <v>10</v>
      </c>
      <c r="I11" s="284" t="s">
        <v>137</v>
      </c>
      <c r="J11" s="283"/>
      <c r="K11" s="283"/>
      <c r="L11" s="285">
        <v>7</v>
      </c>
      <c r="M11" s="285">
        <f ca="1">IF(Evaluacion!O42="Sí",1,0)</f>
        <v>0</v>
      </c>
      <c r="N11" s="38"/>
      <c r="O11" s="286" t="s">
        <v>368</v>
      </c>
      <c r="P11" s="38"/>
    </row>
    <row r="12" spans="1:16" ht="15.75">
      <c r="A12" s="293" t="s">
        <v>229</v>
      </c>
      <c r="B12" s="294" t="s">
        <v>206</v>
      </c>
      <c r="C12" s="295">
        <v>0</v>
      </c>
      <c r="D12" s="294" t="s">
        <v>230</v>
      </c>
      <c r="E12" s="85"/>
      <c r="F12" s="85"/>
      <c r="G12" s="294"/>
      <c r="H12" s="295">
        <v>11</v>
      </c>
      <c r="I12" s="284" t="s">
        <v>138</v>
      </c>
      <c r="J12" s="283"/>
      <c r="K12" s="296"/>
      <c r="L12" s="285">
        <v>8</v>
      </c>
      <c r="M12" s="285">
        <f ca="1">IF(Evaluacion!O46="Sí",1,0)</f>
        <v>0</v>
      </c>
      <c r="N12" s="38"/>
      <c r="O12" s="286" t="s">
        <v>25</v>
      </c>
      <c r="P12" s="38"/>
    </row>
    <row r="13" spans="1:16" ht="15.75">
      <c r="A13" s="288" t="s">
        <v>231</v>
      </c>
      <c r="B13" s="289" t="s">
        <v>206</v>
      </c>
      <c r="C13" s="290">
        <v>1500</v>
      </c>
      <c r="D13" s="289" t="s">
        <v>214</v>
      </c>
      <c r="E13" s="291" t="s">
        <v>215</v>
      </c>
      <c r="F13" s="85" t="s">
        <v>232</v>
      </c>
      <c r="G13" s="38"/>
      <c r="H13" s="283">
        <v>12</v>
      </c>
      <c r="I13" s="284" t="s">
        <v>139</v>
      </c>
      <c r="J13" s="283"/>
      <c r="K13" s="296"/>
      <c r="L13" s="297">
        <v>9</v>
      </c>
      <c r="M13" s="285">
        <f>IF(Evaluacion!O49="Sí",1,0)</f>
        <v>0</v>
      </c>
      <c r="N13" s="38"/>
      <c r="O13" s="286" t="s">
        <v>367</v>
      </c>
      <c r="P13" s="38"/>
    </row>
    <row r="14" spans="1:16" ht="15.75">
      <c r="A14" s="288" t="s">
        <v>233</v>
      </c>
      <c r="B14" s="289" t="s">
        <v>206</v>
      </c>
      <c r="C14" s="85">
        <v>0</v>
      </c>
      <c r="D14" s="289" t="s">
        <v>210</v>
      </c>
      <c r="E14" s="289"/>
      <c r="F14" s="85" t="s">
        <v>211</v>
      </c>
      <c r="G14" s="38"/>
      <c r="H14" s="283">
        <v>13</v>
      </c>
      <c r="I14" s="284"/>
      <c r="J14" s="283"/>
      <c r="K14" s="298" t="s">
        <v>234</v>
      </c>
      <c r="L14" s="297">
        <v>10</v>
      </c>
      <c r="M14" s="285">
        <f>IF(Evaluacion!O50="Sí",1,0)</f>
        <v>0</v>
      </c>
      <c r="N14" s="38"/>
      <c r="O14" s="38"/>
      <c r="P14" s="38"/>
    </row>
    <row r="15" spans="1:16" ht="15.75">
      <c r="A15" s="288" t="s">
        <v>236</v>
      </c>
      <c r="B15" s="289" t="s">
        <v>206</v>
      </c>
      <c r="C15" s="290">
        <v>1500</v>
      </c>
      <c r="D15" s="289" t="s">
        <v>214</v>
      </c>
      <c r="E15" s="291" t="s">
        <v>215</v>
      </c>
      <c r="F15" s="85"/>
      <c r="G15" s="38"/>
      <c r="H15" s="283">
        <v>14</v>
      </c>
      <c r="I15" s="284"/>
      <c r="J15" s="283"/>
      <c r="K15" s="298" t="s">
        <v>237</v>
      </c>
      <c r="L15" s="297">
        <v>11</v>
      </c>
      <c r="M15" s="285">
        <f>IF(Evaluacion!O51="Sí",1,0)</f>
        <v>0</v>
      </c>
      <c r="N15" s="38"/>
      <c r="O15" s="38"/>
      <c r="P15" s="38"/>
    </row>
    <row r="16" spans="1:16" ht="15.75">
      <c r="A16" s="288" t="s">
        <v>238</v>
      </c>
      <c r="B16" s="289" t="s">
        <v>239</v>
      </c>
      <c r="C16" s="299"/>
      <c r="D16" s="289" t="s">
        <v>239</v>
      </c>
      <c r="E16" s="85"/>
      <c r="F16" s="85"/>
      <c r="G16" s="38"/>
      <c r="H16" s="283">
        <v>15</v>
      </c>
      <c r="I16" s="284"/>
      <c r="J16" s="283"/>
      <c r="K16" s="298" t="s">
        <v>189</v>
      </c>
      <c r="L16" s="297">
        <v>12</v>
      </c>
      <c r="M16" s="285">
        <f>IF(Evaluacion!O52="Sí",1,0)</f>
        <v>0</v>
      </c>
      <c r="N16" s="38"/>
      <c r="O16" s="38"/>
      <c r="P16" s="38"/>
    </row>
    <row r="17" spans="1:16" ht="15.75">
      <c r="A17" s="288" t="s">
        <v>240</v>
      </c>
      <c r="B17" s="289" t="s">
        <v>206</v>
      </c>
      <c r="C17" s="290">
        <v>1500</v>
      </c>
      <c r="D17" s="289" t="s">
        <v>214</v>
      </c>
      <c r="E17" s="291" t="s">
        <v>215</v>
      </c>
      <c r="F17" s="85" t="s">
        <v>216</v>
      </c>
      <c r="G17" s="38"/>
      <c r="H17" s="283">
        <v>16</v>
      </c>
      <c r="I17" s="284"/>
      <c r="J17" s="283"/>
      <c r="K17" s="38"/>
      <c r="L17" s="297">
        <v>13</v>
      </c>
      <c r="M17" s="285">
        <f>IF(Evaluacion!O53="Sí",1,0)</f>
        <v>0</v>
      </c>
      <c r="N17" s="38"/>
      <c r="O17" s="38"/>
      <c r="P17" s="38"/>
    </row>
    <row r="18" spans="1:16" ht="15.75">
      <c r="A18" s="288" t="s">
        <v>242</v>
      </c>
      <c r="B18" s="289" t="s">
        <v>206</v>
      </c>
      <c r="C18" s="85">
        <v>0</v>
      </c>
      <c r="D18" s="289" t="s">
        <v>210</v>
      </c>
      <c r="E18" s="289"/>
      <c r="F18" s="85" t="s">
        <v>243</v>
      </c>
      <c r="G18" s="38"/>
      <c r="H18" s="283">
        <v>17</v>
      </c>
      <c r="I18" s="284"/>
      <c r="J18" s="283"/>
      <c r="K18" s="296"/>
      <c r="L18" s="297">
        <v>14</v>
      </c>
      <c r="M18" s="285">
        <f>IF(Evaluacion!O54="Sí",1,0)</f>
        <v>0</v>
      </c>
      <c r="N18" s="38"/>
      <c r="O18" s="38" t="b">
        <f>AND(M17:M18)</f>
        <v>0</v>
      </c>
      <c r="P18" s="38"/>
    </row>
    <row r="19" spans="1:16" ht="15.75">
      <c r="A19" s="288" t="s">
        <v>244</v>
      </c>
      <c r="B19" s="289" t="s">
        <v>206</v>
      </c>
      <c r="C19" s="85">
        <v>0</v>
      </c>
      <c r="D19" s="289" t="s">
        <v>207</v>
      </c>
      <c r="E19" s="289"/>
      <c r="F19" s="85"/>
      <c r="G19" s="38"/>
      <c r="H19" s="283">
        <v>18</v>
      </c>
      <c r="I19" s="284"/>
      <c r="J19" s="300"/>
      <c r="K19" s="38"/>
      <c r="L19" s="297">
        <v>15</v>
      </c>
      <c r="M19" s="285">
        <f>IF(Evaluacion!O55="Sí",1,0)</f>
        <v>0</v>
      </c>
      <c r="N19" s="38"/>
      <c r="O19" s="38"/>
      <c r="P19" s="38"/>
    </row>
    <row r="20" spans="1:16" ht="15.75">
      <c r="A20" s="288" t="s">
        <v>245</v>
      </c>
      <c r="B20" s="289" t="s">
        <v>206</v>
      </c>
      <c r="C20" s="85">
        <v>0</v>
      </c>
      <c r="D20" s="289" t="s">
        <v>230</v>
      </c>
      <c r="E20" s="289"/>
      <c r="F20" s="85" t="s">
        <v>246</v>
      </c>
      <c r="G20" s="38"/>
      <c r="H20" s="283">
        <v>19</v>
      </c>
      <c r="I20" s="284"/>
      <c r="J20" s="301">
        <f ca="1">YEAR(K20)</f>
        <v>2020</v>
      </c>
      <c r="K20" s="302">
        <f ca="1">TODAY()</f>
        <v>43837</v>
      </c>
      <c r="L20" s="297">
        <v>16</v>
      </c>
      <c r="M20" s="285">
        <f>IF(Evaluacion!O56="Sí",1,0)</f>
        <v>0</v>
      </c>
      <c r="N20" s="38"/>
      <c r="O20" s="38"/>
      <c r="P20" s="38"/>
    </row>
    <row r="21" spans="1:16" ht="15.75">
      <c r="A21" s="288" t="s">
        <v>248</v>
      </c>
      <c r="B21" s="289" t="s">
        <v>239</v>
      </c>
      <c r="C21" s="303"/>
      <c r="D21" s="289" t="s">
        <v>239</v>
      </c>
      <c r="E21" s="85"/>
      <c r="F21" s="85"/>
      <c r="G21" s="38"/>
      <c r="H21" s="283">
        <v>20</v>
      </c>
      <c r="I21" s="304"/>
      <c r="J21" s="300">
        <f ca="1">MONTH(K20)</f>
        <v>1</v>
      </c>
      <c r="K21" s="305"/>
      <c r="L21" s="297">
        <v>17</v>
      </c>
      <c r="M21" s="285">
        <f>IF(Evaluacion!O57="Sí",1,0)</f>
        <v>0</v>
      </c>
      <c r="N21" s="38"/>
      <c r="O21" s="38"/>
      <c r="P21" s="38"/>
    </row>
    <row r="22" spans="1:16" ht="15.75">
      <c r="A22" s="288" t="s">
        <v>249</v>
      </c>
      <c r="B22" s="289" t="s">
        <v>239</v>
      </c>
      <c r="C22" s="303"/>
      <c r="D22" s="289" t="s">
        <v>239</v>
      </c>
      <c r="E22" s="85"/>
      <c r="F22" s="85"/>
      <c r="G22" s="38"/>
      <c r="H22" s="283">
        <v>21</v>
      </c>
      <c r="I22" s="304"/>
      <c r="J22" s="300">
        <f ca="1">DAY(K20)</f>
        <v>7</v>
      </c>
      <c r="K22" s="305">
        <f>VLOOKUP(InformaciónProyecto!J34,ddmmchk,2)</f>
        <v>31</v>
      </c>
      <c r="L22" s="297">
        <v>18</v>
      </c>
      <c r="M22" s="285">
        <f>IF(Evaluacion!O58="Sí",1,0)</f>
        <v>0</v>
      </c>
      <c r="N22" s="38"/>
      <c r="O22" s="38"/>
      <c r="P22" s="38"/>
    </row>
    <row r="23" spans="1:16" ht="15.75">
      <c r="A23" s="306" t="s">
        <v>239</v>
      </c>
      <c r="B23" s="289" t="s">
        <v>239</v>
      </c>
      <c r="C23" s="303"/>
      <c r="D23" s="289" t="s">
        <v>239</v>
      </c>
      <c r="E23" s="85"/>
      <c r="F23" s="85"/>
      <c r="G23" s="38"/>
      <c r="H23" s="283">
        <v>22</v>
      </c>
      <c r="I23" s="284"/>
      <c r="J23" s="283"/>
      <c r="K23" s="38"/>
      <c r="L23" s="297">
        <v>19</v>
      </c>
      <c r="M23" s="285">
        <f>IF(Evaluacion!O59="Sí",1,0)</f>
        <v>0</v>
      </c>
      <c r="N23" s="38"/>
      <c r="O23" s="38"/>
      <c r="P23" s="38"/>
    </row>
    <row r="24" spans="1:16" ht="15.75">
      <c r="A24" s="306" t="s">
        <v>250</v>
      </c>
      <c r="B24" s="307" t="s">
        <v>206</v>
      </c>
      <c r="C24" s="308">
        <v>1500</v>
      </c>
      <c r="D24" s="307" t="s">
        <v>214</v>
      </c>
      <c r="E24" s="85"/>
      <c r="F24" s="85"/>
      <c r="G24" s="38"/>
      <c r="H24" s="283">
        <v>23</v>
      </c>
      <c r="I24" s="284"/>
      <c r="J24" s="279" t="s">
        <v>252</v>
      </c>
      <c r="K24" s="279" t="s">
        <v>253</v>
      </c>
      <c r="L24" s="38"/>
      <c r="M24" s="285" t="b">
        <f ca="1">AND(M2:M23)</f>
        <v>0</v>
      </c>
      <c r="N24" s="38"/>
      <c r="O24" s="38"/>
      <c r="P24" s="38"/>
    </row>
    <row r="25" spans="1:16" ht="15.75">
      <c r="A25" s="288" t="s">
        <v>251</v>
      </c>
      <c r="B25" s="289" t="s">
        <v>239</v>
      </c>
      <c r="C25" s="299"/>
      <c r="D25" s="289" t="s">
        <v>239</v>
      </c>
      <c r="E25" s="85"/>
      <c r="F25" s="85"/>
      <c r="G25" s="38"/>
      <c r="H25" s="283">
        <v>24</v>
      </c>
      <c r="I25" s="304"/>
      <c r="J25" s="296" t="s">
        <v>131</v>
      </c>
      <c r="K25" s="283">
        <v>30</v>
      </c>
      <c r="L25" s="38"/>
      <c r="M25" s="38"/>
      <c r="N25" s="38"/>
      <c r="O25" s="309" t="s">
        <v>256</v>
      </c>
      <c r="P25" s="38"/>
    </row>
    <row r="26" spans="1:16" ht="15.75">
      <c r="A26" s="288" t="s">
        <v>254</v>
      </c>
      <c r="B26" s="289" t="s">
        <v>206</v>
      </c>
      <c r="C26" s="85">
        <v>0</v>
      </c>
      <c r="D26" s="289" t="s">
        <v>230</v>
      </c>
      <c r="E26" s="289"/>
      <c r="F26" s="85" t="s">
        <v>255</v>
      </c>
      <c r="G26" s="38"/>
      <c r="H26" s="283">
        <v>25</v>
      </c>
      <c r="I26" s="284"/>
      <c r="J26" s="310" t="s">
        <v>135</v>
      </c>
      <c r="K26" s="283">
        <v>31</v>
      </c>
      <c r="L26" s="38"/>
      <c r="M26" s="38" t="s">
        <v>259</v>
      </c>
      <c r="N26" s="38"/>
      <c r="O26" s="311" t="b">
        <f>AND(N_prop&lt;&gt;"",N_Arq&lt;&gt;"",NI_Arq&lt;&gt;"",Info_Proyecto_Nombre&lt;&gt;"",calleno&lt;&gt;"",coordX&lt;&gt;"",coordY&lt;&gt;"",Info_Municipio&lt;&gt;"",N_Ing&lt;&gt;"",NI_Ing&lt;&gt;"",InformaciónProyecto!N20,tipo_edif&lt;&gt;"",niveles&lt;&gt;"",N_unidades&lt;&gt;"",area&lt;&gt;"",InformaciónProyecto!G34,InformaciónProyecto!J34&lt;&gt;"",InformaciónProyecto!J34&lt;&gt;"")</f>
        <v>0</v>
      </c>
      <c r="P26" s="38"/>
    </row>
    <row r="27" spans="1:16" ht="15.75">
      <c r="A27" s="288" t="s">
        <v>257</v>
      </c>
      <c r="B27" s="289" t="s">
        <v>206</v>
      </c>
      <c r="C27" s="85">
        <v>0</v>
      </c>
      <c r="D27" s="289" t="s">
        <v>230</v>
      </c>
      <c r="E27" s="289"/>
      <c r="F27" s="312" t="s">
        <v>258</v>
      </c>
      <c r="G27" s="38"/>
      <c r="H27" s="283">
        <v>26</v>
      </c>
      <c r="I27" s="284"/>
      <c r="J27" s="296" t="s">
        <v>139</v>
      </c>
      <c r="K27" s="283">
        <v>31</v>
      </c>
      <c r="L27" s="38"/>
      <c r="M27" s="38">
        <v>0.5</v>
      </c>
      <c r="N27" s="38"/>
      <c r="O27" s="38"/>
      <c r="P27" s="38"/>
    </row>
    <row r="28" spans="1:16" ht="15.75">
      <c r="A28" s="288" t="s">
        <v>260</v>
      </c>
      <c r="B28" s="289" t="s">
        <v>206</v>
      </c>
      <c r="C28" s="85">
        <v>0</v>
      </c>
      <c r="D28" s="289" t="s">
        <v>230</v>
      </c>
      <c r="E28" s="289"/>
      <c r="F28" s="85" t="s">
        <v>211</v>
      </c>
      <c r="G28" s="38"/>
      <c r="H28" s="283">
        <v>27</v>
      </c>
      <c r="I28" s="284"/>
      <c r="J28" s="296" t="s">
        <v>128</v>
      </c>
      <c r="K28" s="283">
        <v>31</v>
      </c>
      <c r="L28" s="38"/>
      <c r="M28" s="38">
        <v>0.51</v>
      </c>
      <c r="N28" s="38"/>
      <c r="O28" s="38" t="s">
        <v>328</v>
      </c>
      <c r="P28" s="38" t="s">
        <v>329</v>
      </c>
    </row>
    <row r="29" spans="1:16" ht="15.75">
      <c r="A29" s="288" t="s">
        <v>261</v>
      </c>
      <c r="B29" s="289" t="s">
        <v>206</v>
      </c>
      <c r="C29" s="85">
        <v>0</v>
      </c>
      <c r="D29" s="289" t="s">
        <v>230</v>
      </c>
      <c r="E29" s="289"/>
      <c r="F29" s="85" t="s">
        <v>211</v>
      </c>
      <c r="G29" s="38"/>
      <c r="H29" s="283">
        <v>28</v>
      </c>
      <c r="I29" s="284"/>
      <c r="J29" s="296" t="s">
        <v>129</v>
      </c>
      <c r="K29" s="283">
        <v>28</v>
      </c>
      <c r="L29" s="38"/>
      <c r="M29" s="38">
        <v>0.55000000000000004</v>
      </c>
      <c r="N29" s="38"/>
      <c r="O29" s="38">
        <v>1</v>
      </c>
      <c r="P29" s="38">
        <v>1</v>
      </c>
    </row>
    <row r="30" spans="1:16" ht="15.75">
      <c r="A30" s="288" t="s">
        <v>262</v>
      </c>
      <c r="B30" s="289" t="s">
        <v>239</v>
      </c>
      <c r="C30" s="85">
        <v>0</v>
      </c>
      <c r="D30" s="289" t="s">
        <v>263</v>
      </c>
      <c r="E30" s="289"/>
      <c r="F30" s="85"/>
      <c r="G30" s="38"/>
      <c r="H30" s="283">
        <v>29</v>
      </c>
      <c r="I30" s="284"/>
      <c r="J30" s="310" t="s">
        <v>134</v>
      </c>
      <c r="K30" s="283">
        <v>31</v>
      </c>
      <c r="L30" s="38"/>
      <c r="M30" s="38">
        <v>0.6</v>
      </c>
      <c r="N30" s="38"/>
      <c r="O30" s="38">
        <v>2</v>
      </c>
      <c r="P30" s="38"/>
    </row>
    <row r="31" spans="1:16" ht="15.75">
      <c r="A31" s="288" t="s">
        <v>264</v>
      </c>
      <c r="B31" s="289" t="s">
        <v>206</v>
      </c>
      <c r="C31" s="85">
        <v>0</v>
      </c>
      <c r="D31" s="289" t="s">
        <v>230</v>
      </c>
      <c r="E31" s="289"/>
      <c r="F31" s="312" t="s">
        <v>258</v>
      </c>
      <c r="G31" s="38"/>
      <c r="H31" s="283">
        <v>30</v>
      </c>
      <c r="I31" s="284"/>
      <c r="J31" s="310" t="s">
        <v>133</v>
      </c>
      <c r="K31" s="283">
        <v>30</v>
      </c>
      <c r="L31" s="38"/>
      <c r="M31" s="38">
        <v>0.7</v>
      </c>
      <c r="N31" s="38"/>
      <c r="O31" s="38">
        <v>3</v>
      </c>
      <c r="P31" s="38"/>
    </row>
    <row r="32" spans="1:16" ht="15.75">
      <c r="A32" s="288" t="s">
        <v>265</v>
      </c>
      <c r="B32" s="289" t="s">
        <v>206</v>
      </c>
      <c r="C32" s="290">
        <v>1500</v>
      </c>
      <c r="D32" s="289" t="s">
        <v>214</v>
      </c>
      <c r="E32" s="289" t="s">
        <v>215</v>
      </c>
      <c r="F32" s="85" t="s">
        <v>266</v>
      </c>
      <c r="G32" s="38"/>
      <c r="H32" s="283">
        <v>31</v>
      </c>
      <c r="I32" s="304"/>
      <c r="J32" s="296" t="s">
        <v>130</v>
      </c>
      <c r="K32" s="283">
        <v>31</v>
      </c>
      <c r="L32" s="38"/>
      <c r="M32" s="38">
        <v>0.8</v>
      </c>
      <c r="N32" s="38"/>
      <c r="O32" s="38">
        <v>4</v>
      </c>
      <c r="P32" s="38"/>
    </row>
    <row r="33" spans="1:16" ht="15.75">
      <c r="A33" s="288" t="s">
        <v>267</v>
      </c>
      <c r="B33" s="289" t="s">
        <v>206</v>
      </c>
      <c r="C33" s="290">
        <v>1500</v>
      </c>
      <c r="D33" s="289" t="s">
        <v>214</v>
      </c>
      <c r="E33" s="313" t="s">
        <v>215</v>
      </c>
      <c r="F33" s="85" t="s">
        <v>220</v>
      </c>
      <c r="G33" s="38"/>
      <c r="H33" s="283"/>
      <c r="I33" s="304"/>
      <c r="J33" s="310" t="s">
        <v>132</v>
      </c>
      <c r="K33" s="283">
        <v>31</v>
      </c>
      <c r="L33" s="38"/>
      <c r="M33" s="38">
        <v>0.9</v>
      </c>
      <c r="N33" s="38"/>
      <c r="O33" s="38">
        <v>5</v>
      </c>
      <c r="P33" s="38"/>
    </row>
    <row r="34" spans="1:16" ht="15.75">
      <c r="A34" s="288" t="s">
        <v>268</v>
      </c>
      <c r="B34" s="289" t="s">
        <v>206</v>
      </c>
      <c r="C34" s="85">
        <v>1500</v>
      </c>
      <c r="D34" s="289" t="s">
        <v>214</v>
      </c>
      <c r="E34" s="289" t="s">
        <v>215</v>
      </c>
      <c r="F34" s="312" t="s">
        <v>258</v>
      </c>
      <c r="G34" s="38"/>
      <c r="H34" s="283"/>
      <c r="I34" s="304"/>
      <c r="J34" s="296" t="s">
        <v>138</v>
      </c>
      <c r="K34" s="283">
        <v>30</v>
      </c>
      <c r="L34" s="38"/>
      <c r="M34" s="38">
        <v>0.95</v>
      </c>
      <c r="N34" s="38"/>
      <c r="O34" s="38"/>
      <c r="P34" s="38"/>
    </row>
    <row r="35" spans="1:16" ht="15.75">
      <c r="A35" s="288" t="s">
        <v>269</v>
      </c>
      <c r="B35" s="289" t="s">
        <v>239</v>
      </c>
      <c r="C35" s="299"/>
      <c r="D35" s="289" t="s">
        <v>239</v>
      </c>
      <c r="E35" s="85"/>
      <c r="F35" s="85"/>
      <c r="G35" s="307"/>
      <c r="H35" s="314"/>
      <c r="I35" s="85"/>
      <c r="J35" s="310" t="s">
        <v>137</v>
      </c>
      <c r="K35" s="283">
        <v>31</v>
      </c>
      <c r="L35" s="38"/>
      <c r="M35" s="38">
        <v>0.99</v>
      </c>
      <c r="N35" s="38"/>
      <c r="O35" s="38"/>
      <c r="P35" s="38"/>
    </row>
    <row r="36" spans="1:16" ht="15.75">
      <c r="A36" s="306" t="s">
        <v>270</v>
      </c>
      <c r="B36" s="307" t="s">
        <v>206</v>
      </c>
      <c r="C36" s="314">
        <v>0</v>
      </c>
      <c r="D36" s="289" t="s">
        <v>230</v>
      </c>
      <c r="E36" s="289"/>
      <c r="F36" s="307" t="s">
        <v>230</v>
      </c>
      <c r="G36" s="38"/>
      <c r="H36" s="38"/>
      <c r="I36" s="85"/>
      <c r="J36" s="310" t="s">
        <v>136</v>
      </c>
      <c r="K36" s="283">
        <v>30</v>
      </c>
      <c r="L36" s="38"/>
      <c r="M36" s="38">
        <v>1</v>
      </c>
      <c r="N36" s="38"/>
      <c r="O36" s="38"/>
      <c r="P36" s="38"/>
    </row>
    <row r="37" spans="1:16">
      <c r="A37" s="288" t="s">
        <v>271</v>
      </c>
      <c r="B37" s="289" t="s">
        <v>206</v>
      </c>
      <c r="C37" s="85">
        <v>0</v>
      </c>
      <c r="D37" s="289" t="s">
        <v>230</v>
      </c>
      <c r="E37" s="289"/>
      <c r="F37" s="312" t="s">
        <v>258</v>
      </c>
      <c r="G37" s="38"/>
      <c r="H37" s="38"/>
      <c r="I37" s="85"/>
      <c r="J37" s="38"/>
      <c r="K37" s="38"/>
      <c r="L37" s="38"/>
      <c r="M37" s="38"/>
      <c r="N37" s="38"/>
      <c r="O37" s="38"/>
      <c r="P37" s="38"/>
    </row>
    <row r="38" spans="1:16">
      <c r="A38" s="288" t="s">
        <v>272</v>
      </c>
      <c r="B38" s="289" t="s">
        <v>206</v>
      </c>
      <c r="C38" s="85">
        <v>0</v>
      </c>
      <c r="D38" s="289" t="s">
        <v>230</v>
      </c>
      <c r="E38" s="289"/>
      <c r="F38" s="312" t="s">
        <v>258</v>
      </c>
      <c r="G38" s="38"/>
      <c r="H38" s="315"/>
      <c r="I38" s="316" t="str">
        <f ca="1">(YEAR(NOW())-2018)&amp;TEXT((MID(NOW(),1,5)-43435),"000")&amp;J41&amp;RIGHT(NI_Arq,3)&amp;MID(RAND(),3,2)</f>
        <v>240202</v>
      </c>
      <c r="J38" s="317" t="s">
        <v>275</v>
      </c>
      <c r="K38" s="38"/>
      <c r="L38" s="38"/>
      <c r="M38" s="38"/>
      <c r="N38" s="38"/>
      <c r="O38" s="38" t="s">
        <v>524</v>
      </c>
      <c r="P38" s="38"/>
    </row>
    <row r="39" spans="1:16">
      <c r="A39" s="288" t="s">
        <v>273</v>
      </c>
      <c r="B39" s="289" t="s">
        <v>206</v>
      </c>
      <c r="C39" s="85">
        <v>0</v>
      </c>
      <c r="D39" s="289" t="s">
        <v>230</v>
      </c>
      <c r="E39" s="289"/>
      <c r="F39" s="85" t="s">
        <v>274</v>
      </c>
      <c r="G39" s="38"/>
      <c r="H39" s="315">
        <v>1</v>
      </c>
      <c r="I39" s="318" t="s">
        <v>277</v>
      </c>
      <c r="J39" s="317">
        <f ca="1">(YEAR(NOW())-2018)</f>
        <v>2</v>
      </c>
      <c r="K39" s="38"/>
      <c r="L39" s="38"/>
      <c r="M39" s="38"/>
      <c r="N39" s="38"/>
      <c r="O39" s="38" t="s">
        <v>525</v>
      </c>
      <c r="P39" s="38"/>
    </row>
    <row r="40" spans="1:16">
      <c r="A40" s="288" t="s">
        <v>276</v>
      </c>
      <c r="B40" s="289" t="s">
        <v>206</v>
      </c>
      <c r="C40" s="85">
        <v>0</v>
      </c>
      <c r="D40" s="289" t="s">
        <v>230</v>
      </c>
      <c r="E40" s="289"/>
      <c r="F40" s="312" t="s">
        <v>258</v>
      </c>
      <c r="G40" s="38"/>
      <c r="H40" s="315" t="s">
        <v>281</v>
      </c>
      <c r="I40" s="317" t="s">
        <v>282</v>
      </c>
      <c r="J40" s="319" t="str">
        <f ca="1">TEXT((MID(NOW(),1,5)-43435),"000")</f>
        <v>402</v>
      </c>
      <c r="K40" s="38"/>
      <c r="L40" s="38"/>
      <c r="M40" s="38"/>
      <c r="N40" s="38"/>
      <c r="O40" s="38" t="s">
        <v>526</v>
      </c>
      <c r="P40" s="38"/>
    </row>
    <row r="41" spans="1:16">
      <c r="A41" s="288" t="s">
        <v>278</v>
      </c>
      <c r="B41" s="289" t="s">
        <v>206</v>
      </c>
      <c r="C41" s="85">
        <v>0</v>
      </c>
      <c r="D41" s="289" t="s">
        <v>279</v>
      </c>
      <c r="E41" s="289"/>
      <c r="F41" s="85" t="s">
        <v>280</v>
      </c>
      <c r="G41" s="38"/>
      <c r="H41" s="320" t="s">
        <v>285</v>
      </c>
      <c r="I41" s="321" t="s">
        <v>286</v>
      </c>
      <c r="J41" s="322" t="str">
        <f>IFERROR(IF((LEN(NI_Arq))=10,(LEFT(NI_Arq,2)-50),((LEFT(NI_Arq,4))-1950)),"")</f>
        <v/>
      </c>
      <c r="K41" s="38"/>
      <c r="L41" s="38"/>
      <c r="M41" s="38"/>
      <c r="N41" s="38"/>
      <c r="O41" s="38" t="s">
        <v>527</v>
      </c>
      <c r="P41" s="38"/>
    </row>
    <row r="42" spans="1:16">
      <c r="A42" s="288" t="s">
        <v>283</v>
      </c>
      <c r="B42" s="291" t="s">
        <v>239</v>
      </c>
      <c r="C42" s="85">
        <v>0</v>
      </c>
      <c r="D42" s="289" t="s">
        <v>263</v>
      </c>
      <c r="E42" s="289"/>
      <c r="F42" s="85" t="s">
        <v>284</v>
      </c>
      <c r="G42" s="38"/>
      <c r="H42" s="320" t="s">
        <v>288</v>
      </c>
      <c r="I42" s="317" t="s">
        <v>289</v>
      </c>
      <c r="J42" s="315" t="str">
        <f>RIGHT(NI_Arq,3)</f>
        <v/>
      </c>
      <c r="K42" s="38"/>
      <c r="L42" s="38"/>
      <c r="M42" s="38"/>
      <c r="N42" s="38"/>
      <c r="O42" s="38"/>
      <c r="P42" s="38"/>
    </row>
    <row r="43" spans="1:16">
      <c r="A43" s="288" t="s">
        <v>287</v>
      </c>
      <c r="B43" s="289" t="s">
        <v>206</v>
      </c>
      <c r="C43" s="85">
        <v>0</v>
      </c>
      <c r="D43" s="289" t="s">
        <v>230</v>
      </c>
      <c r="E43" s="289"/>
      <c r="F43" s="312" t="s">
        <v>258</v>
      </c>
      <c r="G43" s="38"/>
      <c r="H43" s="320" t="s">
        <v>291</v>
      </c>
      <c r="I43" s="323" t="s">
        <v>292</v>
      </c>
      <c r="J43" s="317"/>
      <c r="K43" s="38"/>
      <c r="L43" s="340"/>
      <c r="M43" s="340"/>
      <c r="N43" s="340"/>
      <c r="O43" s="340"/>
      <c r="P43" s="38"/>
    </row>
    <row r="44" spans="1:16">
      <c r="A44" s="288" t="s">
        <v>290</v>
      </c>
      <c r="B44" s="289" t="s">
        <v>206</v>
      </c>
      <c r="C44" s="85">
        <v>0</v>
      </c>
      <c r="D44" s="289" t="s">
        <v>210</v>
      </c>
      <c r="E44" s="289"/>
      <c r="F44" s="85" t="s">
        <v>243</v>
      </c>
      <c r="G44" s="38"/>
      <c r="H44" s="38"/>
      <c r="I44" s="85"/>
      <c r="J44" s="38"/>
      <c r="K44" s="38"/>
      <c r="L44" s="340"/>
      <c r="M44" s="340"/>
      <c r="N44" s="340"/>
      <c r="O44" s="340"/>
      <c r="P44" s="38"/>
    </row>
    <row r="45" spans="1:16">
      <c r="A45" s="288" t="s">
        <v>293</v>
      </c>
      <c r="B45" s="289" t="s">
        <v>206</v>
      </c>
      <c r="C45" s="85">
        <v>0</v>
      </c>
      <c r="D45" s="289" t="s">
        <v>207</v>
      </c>
      <c r="E45" s="289"/>
      <c r="F45" s="85"/>
      <c r="G45" s="38"/>
      <c r="H45" s="38"/>
      <c r="I45" s="85"/>
      <c r="J45" s="38"/>
      <c r="K45" s="38"/>
      <c r="L45" s="340"/>
      <c r="M45" s="340"/>
      <c r="N45" s="340"/>
      <c r="O45" s="340"/>
      <c r="P45" s="38"/>
    </row>
    <row r="46" spans="1:16">
      <c r="A46" s="324" t="s">
        <v>294</v>
      </c>
      <c r="B46" s="289" t="s">
        <v>239</v>
      </c>
      <c r="C46" s="299"/>
      <c r="D46" s="289" t="s">
        <v>239</v>
      </c>
      <c r="E46" s="85"/>
      <c r="F46" s="85"/>
      <c r="G46" s="38"/>
      <c r="H46" s="38"/>
      <c r="I46" s="85"/>
      <c r="J46" s="38"/>
      <c r="K46" s="38"/>
      <c r="L46" s="340"/>
      <c r="M46" s="340"/>
      <c r="N46" s="340"/>
      <c r="O46" s="340"/>
      <c r="P46" s="38"/>
    </row>
    <row r="47" spans="1:16">
      <c r="A47" s="288" t="s">
        <v>295</v>
      </c>
      <c r="B47" s="289" t="s">
        <v>206</v>
      </c>
      <c r="C47" s="290">
        <v>1500</v>
      </c>
      <c r="D47" s="289" t="s">
        <v>214</v>
      </c>
      <c r="E47" s="289" t="s">
        <v>296</v>
      </c>
      <c r="F47" s="85" t="s">
        <v>297</v>
      </c>
      <c r="G47" s="38"/>
      <c r="H47" s="38"/>
      <c r="I47" s="85"/>
      <c r="J47" s="38"/>
      <c r="K47" s="38"/>
      <c r="L47" s="340"/>
      <c r="M47" s="340"/>
      <c r="N47" s="340"/>
      <c r="O47" s="340"/>
      <c r="P47" s="38"/>
    </row>
    <row r="48" spans="1:16">
      <c r="A48" s="288" t="s">
        <v>298</v>
      </c>
      <c r="B48" s="289" t="s">
        <v>206</v>
      </c>
      <c r="C48" s="290">
        <v>1500</v>
      </c>
      <c r="D48" s="289" t="s">
        <v>214</v>
      </c>
      <c r="E48" s="289" t="s">
        <v>296</v>
      </c>
      <c r="F48" s="85" t="s">
        <v>216</v>
      </c>
      <c r="G48" s="38"/>
      <c r="H48" s="38"/>
      <c r="I48" s="85"/>
      <c r="J48" s="38"/>
      <c r="K48" s="38"/>
      <c r="L48" s="340"/>
      <c r="M48" s="340"/>
      <c r="N48" s="340"/>
      <c r="O48" s="340"/>
      <c r="P48" s="38"/>
    </row>
    <row r="49" spans="1:16">
      <c r="A49" s="288" t="s">
        <v>299</v>
      </c>
      <c r="B49" s="289" t="s">
        <v>206</v>
      </c>
      <c r="C49" s="85">
        <v>0</v>
      </c>
      <c r="D49" s="289" t="s">
        <v>230</v>
      </c>
      <c r="E49" s="289"/>
      <c r="F49" s="312" t="s">
        <v>258</v>
      </c>
      <c r="G49" s="38"/>
      <c r="H49" s="38"/>
      <c r="I49" s="85"/>
      <c r="J49" s="38"/>
      <c r="K49" s="38"/>
      <c r="L49" s="340"/>
      <c r="M49" s="340"/>
      <c r="N49" s="340"/>
      <c r="O49" s="340"/>
      <c r="P49" s="38"/>
    </row>
    <row r="50" spans="1:16">
      <c r="A50" s="288" t="s">
        <v>300</v>
      </c>
      <c r="B50" s="289" t="s">
        <v>206</v>
      </c>
      <c r="C50" s="290">
        <v>1500</v>
      </c>
      <c r="D50" s="289" t="s">
        <v>214</v>
      </c>
      <c r="E50" s="289" t="s">
        <v>296</v>
      </c>
      <c r="F50" s="312"/>
      <c r="G50" s="38"/>
      <c r="H50" s="38"/>
      <c r="I50" s="85"/>
      <c r="J50" s="38"/>
      <c r="K50" s="38"/>
      <c r="L50" s="340"/>
      <c r="M50" s="340"/>
      <c r="N50" s="340"/>
      <c r="O50" s="340"/>
      <c r="P50" s="38"/>
    </row>
    <row r="51" spans="1:16">
      <c r="A51" s="288" t="s">
        <v>301</v>
      </c>
      <c r="B51" s="289" t="s">
        <v>206</v>
      </c>
      <c r="C51" s="290">
        <v>1500</v>
      </c>
      <c r="D51" s="289" t="s">
        <v>214</v>
      </c>
      <c r="E51" s="289" t="s">
        <v>215</v>
      </c>
      <c r="F51" s="312"/>
      <c r="G51" s="38"/>
      <c r="H51" s="38"/>
      <c r="I51" s="85"/>
      <c r="J51" s="38"/>
      <c r="K51" s="38"/>
      <c r="L51" s="340"/>
      <c r="M51" s="340"/>
      <c r="N51" s="340"/>
      <c r="O51" s="340"/>
      <c r="P51" s="38"/>
    </row>
    <row r="52" spans="1:16">
      <c r="A52" s="288" t="s">
        <v>302</v>
      </c>
      <c r="B52" s="289" t="s">
        <v>206</v>
      </c>
      <c r="C52" s="85">
        <v>0</v>
      </c>
      <c r="D52" s="289" t="s">
        <v>230</v>
      </c>
      <c r="E52" s="289"/>
      <c r="F52" s="312" t="s">
        <v>258</v>
      </c>
      <c r="G52" s="38"/>
      <c r="H52" s="38"/>
      <c r="I52" s="85"/>
      <c r="J52" s="38"/>
      <c r="K52" s="38"/>
      <c r="L52" s="340"/>
      <c r="M52" s="340"/>
      <c r="N52" s="340"/>
      <c r="O52" s="340"/>
      <c r="P52" s="38"/>
    </row>
    <row r="53" spans="1:16">
      <c r="A53" s="288" t="s">
        <v>303</v>
      </c>
      <c r="B53" s="289" t="s">
        <v>239</v>
      </c>
      <c r="C53" s="85"/>
      <c r="D53" s="289" t="s">
        <v>239</v>
      </c>
      <c r="E53" s="85"/>
      <c r="F53" s="85"/>
      <c r="G53" s="38"/>
      <c r="H53" s="38"/>
      <c r="I53" s="85"/>
      <c r="J53" s="38"/>
      <c r="K53" s="38"/>
      <c r="L53" s="340"/>
      <c r="M53" s="340"/>
      <c r="N53" s="340"/>
      <c r="O53" s="340"/>
      <c r="P53" s="38"/>
    </row>
    <row r="54" spans="1:16">
      <c r="A54" s="288" t="s">
        <v>304</v>
      </c>
      <c r="B54" s="289" t="s">
        <v>239</v>
      </c>
      <c r="C54" s="85"/>
      <c r="D54" s="289" t="s">
        <v>239</v>
      </c>
      <c r="E54" s="85"/>
      <c r="F54" s="85"/>
      <c r="G54" s="38"/>
      <c r="H54" s="38"/>
      <c r="I54" s="85"/>
      <c r="J54" s="38"/>
      <c r="K54" s="38"/>
      <c r="L54" s="340"/>
      <c r="M54" s="340"/>
      <c r="N54" s="340"/>
      <c r="O54" s="340"/>
      <c r="P54" s="38"/>
    </row>
    <row r="55" spans="1:16">
      <c r="A55" s="288" t="s">
        <v>305</v>
      </c>
      <c r="B55" s="289" t="s">
        <v>239</v>
      </c>
      <c r="C55" s="85"/>
      <c r="D55" s="289" t="s">
        <v>239</v>
      </c>
      <c r="E55" s="85"/>
      <c r="F55" s="85"/>
      <c r="G55" s="38"/>
      <c r="H55" s="38"/>
      <c r="I55" s="85"/>
      <c r="J55" s="38"/>
      <c r="K55" s="38"/>
      <c r="L55" s="340"/>
      <c r="M55" s="340"/>
      <c r="N55" s="340"/>
      <c r="O55" s="340"/>
      <c r="P55" s="38"/>
    </row>
    <row r="56" spans="1:16">
      <c r="A56" s="288" t="s">
        <v>306</v>
      </c>
      <c r="B56" s="289" t="s">
        <v>206</v>
      </c>
      <c r="C56" s="85">
        <v>0</v>
      </c>
      <c r="D56" s="289" t="s">
        <v>214</v>
      </c>
      <c r="E56" s="289"/>
      <c r="F56" s="312" t="s">
        <v>258</v>
      </c>
      <c r="G56" s="38"/>
      <c r="H56" s="38"/>
      <c r="I56" s="85"/>
      <c r="J56" s="38"/>
      <c r="K56" s="38"/>
      <c r="L56" s="340"/>
      <c r="M56" s="340"/>
      <c r="N56" s="340"/>
      <c r="O56" s="340"/>
      <c r="P56" s="38"/>
    </row>
    <row r="57" spans="1:16">
      <c r="A57" s="288" t="s">
        <v>307</v>
      </c>
      <c r="B57" s="289" t="s">
        <v>206</v>
      </c>
      <c r="C57" s="85">
        <v>0</v>
      </c>
      <c r="D57" s="289" t="s">
        <v>230</v>
      </c>
      <c r="E57" s="289"/>
      <c r="F57" s="85" t="s">
        <v>308</v>
      </c>
      <c r="G57" s="38"/>
      <c r="H57" s="38"/>
      <c r="I57" s="85"/>
      <c r="J57" s="38"/>
      <c r="K57" s="38"/>
      <c r="L57" s="38"/>
      <c r="M57" s="38"/>
      <c r="N57" s="38"/>
      <c r="O57" s="38"/>
      <c r="P57" s="38"/>
    </row>
    <row r="58" spans="1:16">
      <c r="A58" s="325" t="s">
        <v>309</v>
      </c>
      <c r="B58" s="289" t="s">
        <v>206</v>
      </c>
      <c r="C58" s="85">
        <v>0</v>
      </c>
      <c r="D58" s="289" t="s">
        <v>230</v>
      </c>
      <c r="E58" s="289"/>
      <c r="F58" s="312" t="s">
        <v>258</v>
      </c>
      <c r="G58" s="38"/>
      <c r="H58" s="38"/>
      <c r="I58" s="85"/>
      <c r="J58" s="38"/>
      <c r="K58" s="38"/>
      <c r="L58" s="38"/>
      <c r="M58" s="38"/>
      <c r="N58" s="38"/>
      <c r="O58" s="38"/>
      <c r="P58" s="38"/>
    </row>
    <row r="59" spans="1:16">
      <c r="A59" s="325" t="s">
        <v>310</v>
      </c>
      <c r="B59" s="289" t="s">
        <v>206</v>
      </c>
      <c r="C59" s="85">
        <v>0</v>
      </c>
      <c r="D59" s="289" t="s">
        <v>230</v>
      </c>
      <c r="E59" s="289"/>
      <c r="F59" s="312" t="s">
        <v>258</v>
      </c>
      <c r="G59" s="38"/>
      <c r="H59" s="38"/>
      <c r="I59" s="85"/>
      <c r="J59" s="38"/>
      <c r="K59" s="38"/>
      <c r="L59" s="38"/>
      <c r="M59" s="38"/>
      <c r="N59" s="38"/>
      <c r="O59" s="38"/>
      <c r="P59" s="38"/>
    </row>
    <row r="60" spans="1:16">
      <c r="A60" s="325" t="s">
        <v>311</v>
      </c>
      <c r="B60" s="289" t="s">
        <v>206</v>
      </c>
      <c r="C60" s="85">
        <v>0</v>
      </c>
      <c r="D60" s="289" t="s">
        <v>230</v>
      </c>
      <c r="E60" s="289"/>
      <c r="F60" s="312" t="s">
        <v>258</v>
      </c>
      <c r="G60" s="38"/>
      <c r="H60" s="38"/>
      <c r="I60" s="85"/>
      <c r="J60" s="38"/>
      <c r="K60" s="38"/>
      <c r="L60" s="38"/>
      <c r="M60" s="38"/>
      <c r="N60" s="38"/>
      <c r="O60" s="38"/>
      <c r="P60" s="38"/>
    </row>
    <row r="61" spans="1:16">
      <c r="A61" s="325" t="s">
        <v>312</v>
      </c>
      <c r="B61" s="289" t="s">
        <v>206</v>
      </c>
      <c r="C61" s="85">
        <v>0</v>
      </c>
      <c r="D61" s="289" t="s">
        <v>230</v>
      </c>
      <c r="E61" s="289"/>
      <c r="F61" s="312" t="s">
        <v>258</v>
      </c>
      <c r="G61" s="38"/>
      <c r="H61" s="38"/>
      <c r="I61" s="85"/>
      <c r="J61" s="38"/>
      <c r="K61" s="38"/>
      <c r="L61" s="38"/>
      <c r="M61" s="38"/>
      <c r="N61" s="38"/>
      <c r="O61" s="38"/>
      <c r="P61" s="38"/>
    </row>
    <row r="62" spans="1:16">
      <c r="A62" s="325" t="s">
        <v>313</v>
      </c>
      <c r="B62" s="289" t="s">
        <v>206</v>
      </c>
      <c r="C62" s="85">
        <v>0</v>
      </c>
      <c r="D62" s="289" t="s">
        <v>230</v>
      </c>
      <c r="E62" s="289"/>
      <c r="F62" s="312" t="s">
        <v>258</v>
      </c>
      <c r="G62" s="38"/>
      <c r="H62" s="38"/>
      <c r="I62" s="85"/>
      <c r="J62" s="38"/>
      <c r="K62" s="38"/>
      <c r="L62" s="38"/>
      <c r="M62" s="38"/>
      <c r="N62" s="38"/>
      <c r="O62" s="38"/>
      <c r="P62" s="38"/>
    </row>
    <row r="63" spans="1:16">
      <c r="A63" s="325" t="s">
        <v>314</v>
      </c>
      <c r="B63" s="289" t="s">
        <v>206</v>
      </c>
      <c r="C63" s="85">
        <v>0</v>
      </c>
      <c r="D63" s="289" t="s">
        <v>230</v>
      </c>
      <c r="E63" s="289"/>
      <c r="F63" s="312" t="s">
        <v>258</v>
      </c>
      <c r="G63" s="38"/>
      <c r="H63" s="38"/>
      <c r="I63" s="85"/>
      <c r="J63" s="38"/>
      <c r="K63" s="38"/>
      <c r="L63" s="38"/>
      <c r="M63" s="38"/>
      <c r="N63" s="38"/>
      <c r="O63" s="38"/>
      <c r="P63" s="38"/>
    </row>
    <row r="64" spans="1:16">
      <c r="A64" s="325" t="s">
        <v>315</v>
      </c>
      <c r="B64" s="289" t="s">
        <v>206</v>
      </c>
      <c r="C64" s="85">
        <v>0</v>
      </c>
      <c r="D64" s="289" t="s">
        <v>214</v>
      </c>
      <c r="E64" s="289"/>
      <c r="F64" s="312" t="s">
        <v>316</v>
      </c>
      <c r="G64" s="38"/>
      <c r="H64" s="38"/>
      <c r="I64" s="85"/>
      <c r="J64" s="38"/>
      <c r="K64" s="38"/>
      <c r="L64" s="38"/>
      <c r="M64" s="38"/>
      <c r="N64" s="38"/>
      <c r="O64" s="38"/>
      <c r="P64" s="38"/>
    </row>
    <row r="65" spans="1:16">
      <c r="A65" s="85"/>
      <c r="B65" s="85"/>
      <c r="C65" s="85"/>
      <c r="D65" s="85"/>
      <c r="E65" s="85"/>
      <c r="F65" s="85"/>
      <c r="G65" s="38"/>
      <c r="H65" s="38"/>
      <c r="I65" s="85"/>
      <c r="J65" s="38"/>
      <c r="K65" s="38"/>
      <c r="L65" s="38"/>
      <c r="M65" s="38"/>
      <c r="N65" s="38"/>
      <c r="O65" s="38"/>
      <c r="P65" s="38"/>
    </row>
    <row r="66" spans="1:16" ht="36">
      <c r="A66" s="326" t="s">
        <v>317</v>
      </c>
      <c r="B66" s="85"/>
      <c r="C66" s="85"/>
      <c r="D66" s="85"/>
      <c r="E66" s="85"/>
      <c r="F66" s="85"/>
      <c r="G66" s="38"/>
      <c r="H66" s="38"/>
      <c r="I66" s="85"/>
      <c r="J66" s="38"/>
      <c r="K66" s="38"/>
      <c r="L66" s="38"/>
      <c r="M66" s="38"/>
      <c r="N66" s="38"/>
      <c r="O66" s="38"/>
      <c r="P66" s="38"/>
    </row>
  </sheetData>
  <sheetProtection algorithmName="SHA-512" hashValue="amjukVizm0X1LClVty3pcjrvrn+YZX42fCh3oCHPuLdsJLycDzElUellyRwxIXJFX1dxKcJ6U1Y9CIBr9dk5oQ==" saltValue="2Wu9cHdYKXnm+/zexPHNVw==" spinCount="100000" sheet="1" objects="1" scenarios="1" selectLockedCells="1" selectUnlockedCells="1"/>
  <sortState ref="A3:F64">
    <sortCondition ref="A3:A6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S38"/>
  <sheetViews>
    <sheetView topLeftCell="B16" zoomScaleNormal="100" zoomScalePageLayoutView="181" workbookViewId="0">
      <pane xSplit="10" topLeftCell="L1" activePane="topRight" state="frozen"/>
      <selection activeCell="P34" sqref="P34"/>
      <selection pane="topRight" activeCell="K38" sqref="K38"/>
    </sheetView>
  </sheetViews>
  <sheetFormatPr baseColWidth="10" defaultColWidth="11.5546875" defaultRowHeight="15"/>
  <cols>
    <col min="1" max="1" width="4" bestFit="1" customWidth="1"/>
    <col min="2" max="2" width="17" customWidth="1"/>
    <col min="3" max="3" width="5.109375" bestFit="1" customWidth="1"/>
    <col min="4" max="4" width="4.5546875" bestFit="1" customWidth="1"/>
    <col min="5" max="5" width="4.44140625" bestFit="1" customWidth="1"/>
    <col min="6" max="6" width="4.88671875" bestFit="1" customWidth="1"/>
    <col min="7" max="7" width="6.109375" customWidth="1"/>
    <col min="8" max="10" width="4.88671875" bestFit="1" customWidth="1"/>
    <col min="11" max="11" width="5.6640625" bestFit="1" customWidth="1"/>
    <col min="12" max="12" width="4.44140625" bestFit="1" customWidth="1"/>
    <col min="13" max="13" width="3.6640625" bestFit="1" customWidth="1"/>
    <col min="14" max="16" width="3.88671875" bestFit="1" customWidth="1"/>
    <col min="17" max="17" width="3.6640625" bestFit="1" customWidth="1"/>
    <col min="18" max="19" width="3.88671875" bestFit="1" customWidth="1"/>
    <col min="20" max="20" width="3.6640625" bestFit="1" customWidth="1"/>
    <col min="21" max="23" width="3.88671875" bestFit="1" customWidth="1"/>
    <col min="24" max="24" width="4.33203125" customWidth="1"/>
    <col min="25" max="29" width="4.44140625" style="117" bestFit="1" customWidth="1"/>
    <col min="30" max="30" width="3.6640625" style="117" bestFit="1" customWidth="1"/>
    <col min="31" max="31" width="4.44140625" style="117" bestFit="1" customWidth="1"/>
    <col min="32" max="32" width="3.6640625" style="117" bestFit="1" customWidth="1"/>
    <col min="33" max="41" width="4.44140625" style="117" bestFit="1" customWidth="1"/>
    <col min="42" max="42" width="3.6640625" style="117" bestFit="1" customWidth="1"/>
    <col min="43" max="45" width="4.44140625" style="117" bestFit="1" customWidth="1"/>
  </cols>
  <sheetData>
    <row r="1" spans="1:45" s="2" customFormat="1" ht="12.75">
      <c r="B1" s="456" t="s">
        <v>30</v>
      </c>
      <c r="C1" s="456"/>
      <c r="D1" s="456"/>
      <c r="E1" s="456"/>
      <c r="F1" s="456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</row>
    <row r="2" spans="1:45" s="2" customFormat="1" ht="12.7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</row>
    <row r="3" spans="1:45" s="2" customFormat="1" ht="12.75">
      <c r="B3" s="153"/>
      <c r="C3" s="224">
        <v>1</v>
      </c>
      <c r="D3" s="225">
        <v>2</v>
      </c>
      <c r="E3" s="226">
        <v>3</v>
      </c>
      <c r="F3" s="227">
        <v>4</v>
      </c>
      <c r="G3" s="227">
        <v>5</v>
      </c>
      <c r="H3" s="227">
        <v>6</v>
      </c>
      <c r="I3" s="227">
        <v>7</v>
      </c>
      <c r="J3" s="227">
        <v>8</v>
      </c>
      <c r="K3" s="228">
        <v>9</v>
      </c>
      <c r="L3" s="228">
        <v>10</v>
      </c>
      <c r="M3" s="228">
        <v>11</v>
      </c>
      <c r="N3" s="228">
        <v>12</v>
      </c>
      <c r="O3" s="228">
        <v>13</v>
      </c>
      <c r="P3" s="229">
        <v>14</v>
      </c>
      <c r="Q3" s="229">
        <v>15</v>
      </c>
      <c r="R3" s="229">
        <v>16</v>
      </c>
      <c r="S3" s="229">
        <v>17</v>
      </c>
      <c r="T3" s="229">
        <v>18</v>
      </c>
      <c r="U3" s="230">
        <v>19</v>
      </c>
      <c r="V3" s="230">
        <v>20</v>
      </c>
      <c r="W3" s="230">
        <v>21</v>
      </c>
      <c r="X3" s="153"/>
      <c r="Y3" s="231">
        <v>1</v>
      </c>
      <c r="Z3" s="232">
        <v>2</v>
      </c>
      <c r="AA3" s="233">
        <v>3</v>
      </c>
      <c r="AB3" s="234">
        <v>4</v>
      </c>
      <c r="AC3" s="234">
        <v>5</v>
      </c>
      <c r="AD3" s="234">
        <v>6</v>
      </c>
      <c r="AE3" s="234">
        <v>7</v>
      </c>
      <c r="AF3" s="234">
        <v>8</v>
      </c>
      <c r="AG3" s="235">
        <v>9</v>
      </c>
      <c r="AH3" s="235">
        <v>10</v>
      </c>
      <c r="AI3" s="235">
        <v>11</v>
      </c>
      <c r="AJ3" s="235">
        <v>12</v>
      </c>
      <c r="AK3" s="235">
        <v>13</v>
      </c>
      <c r="AL3" s="236">
        <v>14</v>
      </c>
      <c r="AM3" s="236">
        <v>15</v>
      </c>
      <c r="AN3" s="236">
        <v>16</v>
      </c>
      <c r="AO3" s="236">
        <v>17</v>
      </c>
      <c r="AP3" s="236">
        <v>18</v>
      </c>
      <c r="AQ3" s="237">
        <v>19</v>
      </c>
      <c r="AR3" s="237">
        <v>20</v>
      </c>
      <c r="AS3" s="237">
        <v>21</v>
      </c>
    </row>
    <row r="4" spans="1:45" s="2" customFormat="1" ht="12.75">
      <c r="B4" s="153"/>
      <c r="C4" s="224">
        <v>1</v>
      </c>
      <c r="D4" s="225">
        <v>1</v>
      </c>
      <c r="E4" s="226">
        <v>1</v>
      </c>
      <c r="F4" s="227">
        <v>1</v>
      </c>
      <c r="G4" s="227">
        <v>2</v>
      </c>
      <c r="H4" s="227">
        <v>3</v>
      </c>
      <c r="I4" s="227">
        <v>4</v>
      </c>
      <c r="J4" s="227">
        <v>5</v>
      </c>
      <c r="K4" s="228">
        <v>1</v>
      </c>
      <c r="L4" s="228">
        <v>2</v>
      </c>
      <c r="M4" s="228">
        <v>3</v>
      </c>
      <c r="N4" s="228">
        <v>4</v>
      </c>
      <c r="O4" s="228">
        <v>5</v>
      </c>
      <c r="P4" s="229">
        <v>1</v>
      </c>
      <c r="Q4" s="229">
        <v>2</v>
      </c>
      <c r="R4" s="229">
        <v>3</v>
      </c>
      <c r="S4" s="229">
        <v>4</v>
      </c>
      <c r="T4" s="229">
        <v>5</v>
      </c>
      <c r="U4" s="230">
        <v>1</v>
      </c>
      <c r="V4" s="230">
        <v>2</v>
      </c>
      <c r="W4" s="230">
        <v>3</v>
      </c>
      <c r="X4" s="238" t="s">
        <v>379</v>
      </c>
      <c r="Y4" s="231">
        <v>1</v>
      </c>
      <c r="Z4" s="232">
        <v>1</v>
      </c>
      <c r="AA4" s="233">
        <v>1</v>
      </c>
      <c r="AB4" s="234">
        <v>1</v>
      </c>
      <c r="AC4" s="234">
        <v>2</v>
      </c>
      <c r="AD4" s="234">
        <v>3</v>
      </c>
      <c r="AE4" s="234">
        <v>4</v>
      </c>
      <c r="AF4" s="234">
        <v>5</v>
      </c>
      <c r="AG4" s="235">
        <v>1</v>
      </c>
      <c r="AH4" s="235">
        <v>2</v>
      </c>
      <c r="AI4" s="235">
        <v>3</v>
      </c>
      <c r="AJ4" s="235">
        <v>4</v>
      </c>
      <c r="AK4" s="235">
        <v>5</v>
      </c>
      <c r="AL4" s="236">
        <v>1</v>
      </c>
      <c r="AM4" s="236">
        <v>2</v>
      </c>
      <c r="AN4" s="236">
        <v>3</v>
      </c>
      <c r="AO4" s="236">
        <v>4</v>
      </c>
      <c r="AP4" s="236">
        <v>5</v>
      </c>
      <c r="AQ4" s="237">
        <v>1</v>
      </c>
      <c r="AR4" s="237">
        <v>2</v>
      </c>
      <c r="AS4" s="237">
        <v>3</v>
      </c>
    </row>
    <row r="5" spans="1:45" s="2" customFormat="1" ht="12.75">
      <c r="B5" s="153"/>
      <c r="C5" s="224" t="s">
        <v>336</v>
      </c>
      <c r="D5" s="225" t="s">
        <v>361</v>
      </c>
      <c r="E5" s="226" t="s">
        <v>337</v>
      </c>
      <c r="F5" s="239" t="s">
        <v>342</v>
      </c>
      <c r="G5" s="239" t="s">
        <v>338</v>
      </c>
      <c r="H5" s="239" t="s">
        <v>339</v>
      </c>
      <c r="I5" s="239" t="s">
        <v>340</v>
      </c>
      <c r="J5" s="239" t="s">
        <v>341</v>
      </c>
      <c r="K5" s="240" t="s">
        <v>331</v>
      </c>
      <c r="L5" s="240" t="s">
        <v>332</v>
      </c>
      <c r="M5" s="240" t="s">
        <v>333</v>
      </c>
      <c r="N5" s="240" t="s">
        <v>334</v>
      </c>
      <c r="O5" s="240" t="s">
        <v>335</v>
      </c>
      <c r="P5" s="241" t="s">
        <v>343</v>
      </c>
      <c r="Q5" s="241" t="s">
        <v>344</v>
      </c>
      <c r="R5" s="241" t="s">
        <v>345</v>
      </c>
      <c r="S5" s="241" t="s">
        <v>346</v>
      </c>
      <c r="T5" s="241" t="s">
        <v>347</v>
      </c>
      <c r="U5" s="242" t="s">
        <v>348</v>
      </c>
      <c r="V5" s="242" t="s">
        <v>349</v>
      </c>
      <c r="W5" s="242" t="s">
        <v>350</v>
      </c>
      <c r="X5" s="243"/>
      <c r="Y5" s="231" t="s">
        <v>336</v>
      </c>
      <c r="Z5" s="232" t="s">
        <v>361</v>
      </c>
      <c r="AA5" s="233" t="s">
        <v>337</v>
      </c>
      <c r="AB5" s="244" t="s">
        <v>342</v>
      </c>
      <c r="AC5" s="244" t="s">
        <v>338</v>
      </c>
      <c r="AD5" s="244" t="s">
        <v>339</v>
      </c>
      <c r="AE5" s="244" t="s">
        <v>340</v>
      </c>
      <c r="AF5" s="244" t="s">
        <v>341</v>
      </c>
      <c r="AG5" s="245" t="s">
        <v>331</v>
      </c>
      <c r="AH5" s="245" t="s">
        <v>332</v>
      </c>
      <c r="AI5" s="245" t="s">
        <v>333</v>
      </c>
      <c r="AJ5" s="245" t="s">
        <v>334</v>
      </c>
      <c r="AK5" s="245" t="s">
        <v>335</v>
      </c>
      <c r="AL5" s="246" t="s">
        <v>343</v>
      </c>
      <c r="AM5" s="246" t="s">
        <v>344</v>
      </c>
      <c r="AN5" s="246" t="s">
        <v>345</v>
      </c>
      <c r="AO5" s="246" t="s">
        <v>346</v>
      </c>
      <c r="AP5" s="246" t="s">
        <v>347</v>
      </c>
      <c r="AQ5" s="247" t="s">
        <v>348</v>
      </c>
      <c r="AR5" s="247" t="s">
        <v>349</v>
      </c>
      <c r="AS5" s="247" t="s">
        <v>350</v>
      </c>
    </row>
    <row r="6" spans="1:45" s="2" customFormat="1" ht="12.75">
      <c r="A6" s="118">
        <v>1</v>
      </c>
      <c r="B6" s="153" t="s">
        <v>387</v>
      </c>
      <c r="C6" s="248">
        <v>4</v>
      </c>
      <c r="D6" s="249">
        <v>4</v>
      </c>
      <c r="E6" s="250">
        <v>4</v>
      </c>
      <c r="F6" s="251">
        <v>1</v>
      </c>
      <c r="G6" s="251">
        <v>1</v>
      </c>
      <c r="H6" s="251">
        <v>2</v>
      </c>
      <c r="I6" s="250">
        <v>4</v>
      </c>
      <c r="J6" s="251">
        <v>3</v>
      </c>
      <c r="K6" s="250">
        <v>4</v>
      </c>
      <c r="L6" s="250">
        <v>4</v>
      </c>
      <c r="M6" s="252">
        <v>0.8</v>
      </c>
      <c r="N6" s="250">
        <v>4</v>
      </c>
      <c r="O6" s="250">
        <v>4</v>
      </c>
      <c r="P6" s="253">
        <v>2</v>
      </c>
      <c r="Q6" s="250">
        <v>5</v>
      </c>
      <c r="R6" s="253">
        <v>2</v>
      </c>
      <c r="S6" s="250">
        <v>4</v>
      </c>
      <c r="T6" s="253">
        <v>2.5</v>
      </c>
      <c r="U6" s="230">
        <v>2</v>
      </c>
      <c r="V6" s="230">
        <v>1</v>
      </c>
      <c r="W6" s="230">
        <v>1.7</v>
      </c>
      <c r="X6" s="238">
        <v>4</v>
      </c>
      <c r="Y6" s="223" t="b">
        <f>IF(C6&lt;$X$6,TRUE,FALSE)</f>
        <v>0</v>
      </c>
      <c r="Z6" s="223" t="b">
        <f t="shared" ref="Z6:AS6" si="0">IF(D6&lt;$X$6,TRUE,FALSE)</f>
        <v>0</v>
      </c>
      <c r="AA6" s="223" t="b">
        <f t="shared" si="0"/>
        <v>0</v>
      </c>
      <c r="AB6" s="223" t="b">
        <f t="shared" si="0"/>
        <v>1</v>
      </c>
      <c r="AC6" s="223" t="b">
        <f t="shared" si="0"/>
        <v>1</v>
      </c>
      <c r="AD6" s="223" t="b">
        <f t="shared" si="0"/>
        <v>1</v>
      </c>
      <c r="AE6" s="223" t="b">
        <f t="shared" si="0"/>
        <v>0</v>
      </c>
      <c r="AF6" s="223" t="b">
        <f t="shared" si="0"/>
        <v>1</v>
      </c>
      <c r="AG6" s="223" t="b">
        <f t="shared" si="0"/>
        <v>0</v>
      </c>
      <c r="AH6" s="223" t="b">
        <f t="shared" si="0"/>
        <v>0</v>
      </c>
      <c r="AI6" s="223" t="b">
        <f t="shared" si="0"/>
        <v>1</v>
      </c>
      <c r="AJ6" s="223" t="b">
        <f t="shared" si="0"/>
        <v>0</v>
      </c>
      <c r="AK6" s="223" t="b">
        <f t="shared" si="0"/>
        <v>0</v>
      </c>
      <c r="AL6" s="223" t="b">
        <f t="shared" si="0"/>
        <v>1</v>
      </c>
      <c r="AM6" s="223" t="b">
        <f t="shared" si="0"/>
        <v>0</v>
      </c>
      <c r="AN6" s="223" t="b">
        <f t="shared" si="0"/>
        <v>1</v>
      </c>
      <c r="AO6" s="223" t="b">
        <f t="shared" si="0"/>
        <v>0</v>
      </c>
      <c r="AP6" s="223" t="b">
        <f t="shared" si="0"/>
        <v>1</v>
      </c>
      <c r="AQ6" s="223" t="b">
        <f t="shared" si="0"/>
        <v>1</v>
      </c>
      <c r="AR6" s="223" t="b">
        <f t="shared" si="0"/>
        <v>1</v>
      </c>
      <c r="AS6" s="223" t="b">
        <f t="shared" si="0"/>
        <v>1</v>
      </c>
    </row>
    <row r="7" spans="1:45" s="2" customFormat="1" ht="12.75">
      <c r="A7" s="118">
        <v>2</v>
      </c>
      <c r="B7" s="153" t="s">
        <v>388</v>
      </c>
      <c r="C7" s="248">
        <v>5.8</v>
      </c>
      <c r="D7" s="249">
        <v>5.8</v>
      </c>
      <c r="E7" s="250">
        <v>5.8</v>
      </c>
      <c r="F7" s="251">
        <v>5.6</v>
      </c>
      <c r="G7" s="251">
        <v>5.25</v>
      </c>
      <c r="H7" s="251">
        <v>5.6</v>
      </c>
      <c r="I7" s="251">
        <v>5.7</v>
      </c>
      <c r="J7" s="251">
        <v>5.75</v>
      </c>
      <c r="K7" s="252">
        <v>5.6</v>
      </c>
      <c r="L7" s="252">
        <v>5.25</v>
      </c>
      <c r="M7" s="252">
        <v>5.8</v>
      </c>
      <c r="N7" s="250">
        <v>5.8</v>
      </c>
      <c r="O7" s="252">
        <v>5.6</v>
      </c>
      <c r="P7" s="253">
        <v>5.8</v>
      </c>
      <c r="Q7" s="253">
        <v>5.7</v>
      </c>
      <c r="R7" s="253">
        <v>5.8</v>
      </c>
      <c r="S7" s="253">
        <v>5.8</v>
      </c>
      <c r="T7" s="253">
        <v>5.25</v>
      </c>
      <c r="U7" s="230">
        <v>5.7</v>
      </c>
      <c r="V7" s="250">
        <v>5.8</v>
      </c>
      <c r="W7" s="230">
        <v>5</v>
      </c>
      <c r="X7" s="238">
        <v>5.9</v>
      </c>
      <c r="Y7" s="223" t="b">
        <f>IF(C7&lt;$X7,TRUE,FALSE)</f>
        <v>1</v>
      </c>
      <c r="Z7" s="223" t="b">
        <f t="shared" ref="Z7:AS8" si="1">IF(D7&lt;$X7,TRUE,FALSE)</f>
        <v>1</v>
      </c>
      <c r="AA7" s="223" t="b">
        <f t="shared" si="1"/>
        <v>1</v>
      </c>
      <c r="AB7" s="223" t="b">
        <f t="shared" si="1"/>
        <v>1</v>
      </c>
      <c r="AC7" s="223" t="b">
        <f t="shared" si="1"/>
        <v>1</v>
      </c>
      <c r="AD7" s="223" t="b">
        <f t="shared" si="1"/>
        <v>1</v>
      </c>
      <c r="AE7" s="223" t="b">
        <f t="shared" si="1"/>
        <v>1</v>
      </c>
      <c r="AF7" s="223" t="b">
        <f t="shared" si="1"/>
        <v>1</v>
      </c>
      <c r="AG7" s="223" t="b">
        <f t="shared" si="1"/>
        <v>1</v>
      </c>
      <c r="AH7" s="223" t="b">
        <f t="shared" si="1"/>
        <v>1</v>
      </c>
      <c r="AI7" s="223" t="b">
        <f t="shared" si="1"/>
        <v>1</v>
      </c>
      <c r="AJ7" s="223" t="b">
        <f t="shared" si="1"/>
        <v>1</v>
      </c>
      <c r="AK7" s="223" t="b">
        <f t="shared" si="1"/>
        <v>1</v>
      </c>
      <c r="AL7" s="223" t="b">
        <f t="shared" si="1"/>
        <v>1</v>
      </c>
      <c r="AM7" s="223" t="b">
        <f t="shared" si="1"/>
        <v>1</v>
      </c>
      <c r="AN7" s="223" t="b">
        <f t="shared" si="1"/>
        <v>1</v>
      </c>
      <c r="AO7" s="223" t="b">
        <f t="shared" si="1"/>
        <v>1</v>
      </c>
      <c r="AP7" s="223" t="b">
        <f t="shared" si="1"/>
        <v>1</v>
      </c>
      <c r="AQ7" s="223" t="b">
        <f t="shared" si="1"/>
        <v>1</v>
      </c>
      <c r="AR7" s="223" t="b">
        <f t="shared" si="1"/>
        <v>1</v>
      </c>
      <c r="AS7" s="223" t="b">
        <f t="shared" si="1"/>
        <v>1</v>
      </c>
    </row>
    <row r="8" spans="1:45" s="2" customFormat="1" ht="12.75">
      <c r="A8" s="118">
        <v>3</v>
      </c>
      <c r="B8" s="153" t="s">
        <v>389</v>
      </c>
      <c r="C8" s="248">
        <v>0.87</v>
      </c>
      <c r="D8" s="249">
        <v>0.87</v>
      </c>
      <c r="E8" s="250">
        <v>0.87</v>
      </c>
      <c r="F8" s="251">
        <v>0.5</v>
      </c>
      <c r="G8" s="251">
        <v>0.35</v>
      </c>
      <c r="H8" s="251">
        <v>0.5</v>
      </c>
      <c r="I8" s="251">
        <v>0.4</v>
      </c>
      <c r="J8" s="251">
        <v>0.45</v>
      </c>
      <c r="K8" s="252">
        <v>0.53</v>
      </c>
      <c r="L8" s="252">
        <v>0.35</v>
      </c>
      <c r="M8" s="252">
        <v>0.65</v>
      </c>
      <c r="N8" s="250">
        <v>0.87</v>
      </c>
      <c r="O8" s="252">
        <v>0.53</v>
      </c>
      <c r="P8" s="253">
        <v>0.48</v>
      </c>
      <c r="Q8" s="253">
        <v>0.45</v>
      </c>
      <c r="R8" s="253">
        <v>0.65</v>
      </c>
      <c r="S8" s="253">
        <v>0.65</v>
      </c>
      <c r="T8" s="253">
        <v>0.35</v>
      </c>
      <c r="U8" s="230">
        <v>0.48</v>
      </c>
      <c r="V8" s="250">
        <v>0.87</v>
      </c>
      <c r="W8" s="230">
        <v>0.5</v>
      </c>
      <c r="X8" s="238">
        <v>0.87</v>
      </c>
      <c r="Y8" s="223" t="b">
        <f>IF(C8&lt;$X8,TRUE,FALSE)</f>
        <v>0</v>
      </c>
      <c r="Z8" s="223" t="b">
        <f t="shared" si="1"/>
        <v>0</v>
      </c>
      <c r="AA8" s="223" t="b">
        <f t="shared" si="1"/>
        <v>0</v>
      </c>
      <c r="AB8" s="223" t="b">
        <f t="shared" si="1"/>
        <v>1</v>
      </c>
      <c r="AC8" s="223" t="b">
        <f t="shared" si="1"/>
        <v>1</v>
      </c>
      <c r="AD8" s="223" t="b">
        <f t="shared" si="1"/>
        <v>1</v>
      </c>
      <c r="AE8" s="223" t="b">
        <f t="shared" si="1"/>
        <v>1</v>
      </c>
      <c r="AF8" s="223" t="b">
        <f t="shared" si="1"/>
        <v>1</v>
      </c>
      <c r="AG8" s="223" t="b">
        <f t="shared" si="1"/>
        <v>1</v>
      </c>
      <c r="AH8" s="223" t="b">
        <f t="shared" si="1"/>
        <v>1</v>
      </c>
      <c r="AI8" s="223" t="b">
        <f t="shared" si="1"/>
        <v>1</v>
      </c>
      <c r="AJ8" s="223" t="b">
        <f t="shared" si="1"/>
        <v>0</v>
      </c>
      <c r="AK8" s="223" t="b">
        <f t="shared" si="1"/>
        <v>1</v>
      </c>
      <c r="AL8" s="223" t="b">
        <f t="shared" si="1"/>
        <v>1</v>
      </c>
      <c r="AM8" s="223" t="b">
        <f t="shared" si="1"/>
        <v>1</v>
      </c>
      <c r="AN8" s="223" t="b">
        <f t="shared" si="1"/>
        <v>1</v>
      </c>
      <c r="AO8" s="223" t="b">
        <f t="shared" si="1"/>
        <v>1</v>
      </c>
      <c r="AP8" s="223" t="b">
        <f t="shared" si="1"/>
        <v>1</v>
      </c>
      <c r="AQ8" s="223" t="b">
        <f t="shared" si="1"/>
        <v>1</v>
      </c>
      <c r="AR8" s="223" t="b">
        <f t="shared" si="1"/>
        <v>0</v>
      </c>
      <c r="AS8" s="223" t="b">
        <f t="shared" si="1"/>
        <v>1</v>
      </c>
    </row>
    <row r="9" spans="1:45" s="2" customFormat="1" ht="12.75">
      <c r="A9" s="118">
        <v>4</v>
      </c>
      <c r="B9" s="254" t="s">
        <v>390</v>
      </c>
      <c r="C9" s="255">
        <v>0.01</v>
      </c>
      <c r="D9" s="256">
        <v>0.01</v>
      </c>
      <c r="E9" s="257">
        <v>0.01</v>
      </c>
      <c r="F9" s="251">
        <v>0.3</v>
      </c>
      <c r="G9" s="258">
        <v>0.29899999999999999</v>
      </c>
      <c r="H9" s="251">
        <v>0.3</v>
      </c>
      <c r="I9" s="251">
        <v>0.4</v>
      </c>
      <c r="J9" s="251">
        <v>0.3</v>
      </c>
      <c r="K9" s="257">
        <v>0</v>
      </c>
      <c r="L9" s="252">
        <v>0.3</v>
      </c>
      <c r="M9" s="252">
        <v>0.3</v>
      </c>
      <c r="N9" s="257">
        <v>0</v>
      </c>
      <c r="O9" s="257">
        <v>0</v>
      </c>
      <c r="P9" s="253">
        <v>0.3</v>
      </c>
      <c r="Q9" s="253">
        <v>0.3</v>
      </c>
      <c r="R9" s="257">
        <v>0.01</v>
      </c>
      <c r="S9" s="257">
        <v>0.01</v>
      </c>
      <c r="T9" s="253">
        <v>0.3</v>
      </c>
      <c r="U9" s="257">
        <v>0.01</v>
      </c>
      <c r="V9" s="257">
        <v>0.01</v>
      </c>
      <c r="W9" s="257">
        <v>0.01</v>
      </c>
      <c r="X9" s="259">
        <v>0.29899999999999999</v>
      </c>
      <c r="Y9" s="223" t="b">
        <f>IF(C9&gt;$X9,TRUE,FALSE)</f>
        <v>0</v>
      </c>
      <c r="Z9" s="223" t="b">
        <f t="shared" ref="Z9:AS10" si="2">IF(D9&gt;$X9,TRUE,FALSE)</f>
        <v>0</v>
      </c>
      <c r="AA9" s="223" t="b">
        <f t="shared" si="2"/>
        <v>0</v>
      </c>
      <c r="AB9" s="223" t="b">
        <f t="shared" si="2"/>
        <v>1</v>
      </c>
      <c r="AC9" s="223" t="b">
        <f t="shared" si="2"/>
        <v>0</v>
      </c>
      <c r="AD9" s="223" t="b">
        <f t="shared" si="2"/>
        <v>1</v>
      </c>
      <c r="AE9" s="223" t="b">
        <f t="shared" si="2"/>
        <v>1</v>
      </c>
      <c r="AF9" s="223" t="b">
        <f t="shared" si="2"/>
        <v>1</v>
      </c>
      <c r="AG9" s="223" t="b">
        <f t="shared" si="2"/>
        <v>0</v>
      </c>
      <c r="AH9" s="223" t="b">
        <f t="shared" si="2"/>
        <v>1</v>
      </c>
      <c r="AI9" s="223" t="b">
        <f t="shared" si="2"/>
        <v>1</v>
      </c>
      <c r="AJ9" s="223" t="b">
        <f t="shared" si="2"/>
        <v>0</v>
      </c>
      <c r="AK9" s="223" t="b">
        <f t="shared" si="2"/>
        <v>0</v>
      </c>
      <c r="AL9" s="223" t="b">
        <f t="shared" si="2"/>
        <v>1</v>
      </c>
      <c r="AM9" s="223" t="b">
        <f t="shared" si="2"/>
        <v>1</v>
      </c>
      <c r="AN9" s="223" t="b">
        <f t="shared" si="2"/>
        <v>0</v>
      </c>
      <c r="AO9" s="223" t="b">
        <f t="shared" si="2"/>
        <v>0</v>
      </c>
      <c r="AP9" s="223" t="b">
        <f t="shared" si="2"/>
        <v>1</v>
      </c>
      <c r="AQ9" s="223" t="b">
        <f t="shared" si="2"/>
        <v>0</v>
      </c>
      <c r="AR9" s="223" t="b">
        <f t="shared" si="2"/>
        <v>0</v>
      </c>
      <c r="AS9" s="223" t="b">
        <f t="shared" si="2"/>
        <v>0</v>
      </c>
    </row>
    <row r="10" spans="1:45" s="2" customFormat="1" ht="12.75">
      <c r="A10" s="118">
        <v>5</v>
      </c>
      <c r="B10" s="254" t="s">
        <v>391</v>
      </c>
      <c r="C10" s="255">
        <v>0</v>
      </c>
      <c r="D10" s="256">
        <v>0.01</v>
      </c>
      <c r="E10" s="257">
        <v>0</v>
      </c>
      <c r="F10" s="251">
        <v>0.3</v>
      </c>
      <c r="G10" s="258">
        <v>0.29899999999999999</v>
      </c>
      <c r="H10" s="251">
        <v>0.3</v>
      </c>
      <c r="I10" s="257"/>
      <c r="J10" s="251">
        <v>0.3</v>
      </c>
      <c r="K10" s="257">
        <v>0</v>
      </c>
      <c r="L10" s="252">
        <v>0.3</v>
      </c>
      <c r="M10" s="252">
        <v>0.3</v>
      </c>
      <c r="N10" s="257">
        <v>0</v>
      </c>
      <c r="O10" s="257">
        <v>0</v>
      </c>
      <c r="P10" s="257">
        <v>0</v>
      </c>
      <c r="Q10" s="253">
        <v>0.3</v>
      </c>
      <c r="R10" s="257">
        <v>0</v>
      </c>
      <c r="S10" s="257">
        <v>0</v>
      </c>
      <c r="T10" s="253">
        <v>0.3</v>
      </c>
      <c r="U10" s="257">
        <v>0</v>
      </c>
      <c r="V10" s="257">
        <v>0</v>
      </c>
      <c r="W10" s="257">
        <v>0</v>
      </c>
      <c r="X10" s="259">
        <v>0.29899999999999999</v>
      </c>
      <c r="Y10" s="223" t="b">
        <f>IF(C10&gt;$X10,TRUE,FALSE)</f>
        <v>0</v>
      </c>
      <c r="Z10" s="223" t="b">
        <f t="shared" si="2"/>
        <v>0</v>
      </c>
      <c r="AA10" s="223" t="b">
        <f t="shared" si="2"/>
        <v>0</v>
      </c>
      <c r="AB10" s="223" t="b">
        <f t="shared" si="2"/>
        <v>1</v>
      </c>
      <c r="AC10" s="223" t="b">
        <f t="shared" si="2"/>
        <v>0</v>
      </c>
      <c r="AD10" s="223" t="b">
        <f t="shared" si="2"/>
        <v>1</v>
      </c>
      <c r="AE10" s="223" t="b">
        <f t="shared" si="2"/>
        <v>0</v>
      </c>
      <c r="AF10" s="223" t="b">
        <f t="shared" si="2"/>
        <v>1</v>
      </c>
      <c r="AG10" s="223" t="b">
        <f t="shared" si="2"/>
        <v>0</v>
      </c>
      <c r="AH10" s="223" t="b">
        <f t="shared" si="2"/>
        <v>1</v>
      </c>
      <c r="AI10" s="223" t="b">
        <f t="shared" si="2"/>
        <v>1</v>
      </c>
      <c r="AJ10" s="223" t="b">
        <f t="shared" si="2"/>
        <v>0</v>
      </c>
      <c r="AK10" s="223" t="b">
        <f t="shared" si="2"/>
        <v>0</v>
      </c>
      <c r="AL10" s="223" t="b">
        <f t="shared" si="2"/>
        <v>0</v>
      </c>
      <c r="AM10" s="223" t="b">
        <f t="shared" si="2"/>
        <v>1</v>
      </c>
      <c r="AN10" s="223" t="b">
        <f t="shared" si="2"/>
        <v>0</v>
      </c>
      <c r="AO10" s="223" t="b">
        <f t="shared" si="2"/>
        <v>0</v>
      </c>
      <c r="AP10" s="223" t="b">
        <f t="shared" si="2"/>
        <v>1</v>
      </c>
      <c r="AQ10" s="223" t="b">
        <f t="shared" si="2"/>
        <v>0</v>
      </c>
      <c r="AR10" s="223" t="b">
        <f t="shared" si="2"/>
        <v>0</v>
      </c>
      <c r="AS10" s="223" t="b">
        <f t="shared" si="2"/>
        <v>0</v>
      </c>
    </row>
    <row r="11" spans="1:45" s="2" customFormat="1" ht="12.75">
      <c r="A11" s="118">
        <v>6</v>
      </c>
      <c r="B11" s="254" t="s">
        <v>392</v>
      </c>
      <c r="C11" s="260">
        <v>1</v>
      </c>
      <c r="D11" s="260">
        <v>1</v>
      </c>
      <c r="E11" s="260">
        <v>1</v>
      </c>
      <c r="F11" s="261">
        <v>0.75</v>
      </c>
      <c r="G11" s="260">
        <v>1</v>
      </c>
      <c r="H11" s="261">
        <v>0.7</v>
      </c>
      <c r="I11" s="260">
        <v>1</v>
      </c>
      <c r="J11" s="261">
        <v>0.75</v>
      </c>
      <c r="K11" s="262">
        <v>0.4</v>
      </c>
      <c r="L11" s="262">
        <v>0.4</v>
      </c>
      <c r="M11" s="262">
        <v>0.4</v>
      </c>
      <c r="N11" s="262">
        <v>0.3</v>
      </c>
      <c r="O11" s="262">
        <v>0.3</v>
      </c>
      <c r="P11" s="263">
        <v>0.4</v>
      </c>
      <c r="Q11" s="263">
        <v>0.5</v>
      </c>
      <c r="R11" s="263">
        <v>0.4</v>
      </c>
      <c r="S11" s="263">
        <v>0.3</v>
      </c>
      <c r="T11" s="263">
        <v>0.5</v>
      </c>
      <c r="U11" s="264">
        <v>0.2</v>
      </c>
      <c r="V11" s="264">
        <v>0.4</v>
      </c>
      <c r="W11" s="260">
        <v>1</v>
      </c>
      <c r="X11" s="265">
        <v>1</v>
      </c>
      <c r="Y11" s="223" t="b">
        <f>IF(C11&lt;$X11,TRUE,FALSE)</f>
        <v>0</v>
      </c>
      <c r="Z11" s="223" t="b">
        <f t="shared" ref="Z11:AS12" si="3">IF(D11&lt;$X11,TRUE,FALSE)</f>
        <v>0</v>
      </c>
      <c r="AA11" s="223" t="b">
        <f t="shared" si="3"/>
        <v>0</v>
      </c>
      <c r="AB11" s="223" t="b">
        <f t="shared" si="3"/>
        <v>1</v>
      </c>
      <c r="AC11" s="223" t="b">
        <f t="shared" si="3"/>
        <v>0</v>
      </c>
      <c r="AD11" s="223" t="b">
        <f t="shared" si="3"/>
        <v>1</v>
      </c>
      <c r="AE11" s="223" t="b">
        <f t="shared" si="3"/>
        <v>0</v>
      </c>
      <c r="AF11" s="223" t="b">
        <f t="shared" si="3"/>
        <v>1</v>
      </c>
      <c r="AG11" s="223" t="b">
        <f t="shared" si="3"/>
        <v>1</v>
      </c>
      <c r="AH11" s="223" t="b">
        <f t="shared" si="3"/>
        <v>1</v>
      </c>
      <c r="AI11" s="223" t="b">
        <f t="shared" si="3"/>
        <v>1</v>
      </c>
      <c r="AJ11" s="223" t="b">
        <f t="shared" si="3"/>
        <v>1</v>
      </c>
      <c r="AK11" s="223" t="b">
        <f t="shared" si="3"/>
        <v>1</v>
      </c>
      <c r="AL11" s="223" t="b">
        <f t="shared" si="3"/>
        <v>1</v>
      </c>
      <c r="AM11" s="223" t="b">
        <f t="shared" si="3"/>
        <v>1</v>
      </c>
      <c r="AN11" s="223" t="b">
        <f t="shared" si="3"/>
        <v>1</v>
      </c>
      <c r="AO11" s="223" t="b">
        <f t="shared" si="3"/>
        <v>1</v>
      </c>
      <c r="AP11" s="223" t="b">
        <f t="shared" si="3"/>
        <v>1</v>
      </c>
      <c r="AQ11" s="223" t="b">
        <f t="shared" si="3"/>
        <v>1</v>
      </c>
      <c r="AR11" s="223" t="b">
        <f t="shared" si="3"/>
        <v>1</v>
      </c>
      <c r="AS11" s="223" t="b">
        <f t="shared" si="3"/>
        <v>0</v>
      </c>
    </row>
    <row r="12" spans="1:45" s="2" customFormat="1" ht="12.75">
      <c r="A12" s="118">
        <v>7</v>
      </c>
      <c r="B12" s="153" t="s">
        <v>393</v>
      </c>
      <c r="C12" s="248">
        <v>4.8</v>
      </c>
      <c r="D12" s="266">
        <v>0.5</v>
      </c>
      <c r="E12" s="250">
        <v>4.8</v>
      </c>
      <c r="F12" s="251">
        <v>1.04</v>
      </c>
      <c r="G12" s="267">
        <v>4.8</v>
      </c>
      <c r="H12" s="251">
        <v>1.04</v>
      </c>
      <c r="I12" s="250">
        <v>4.8</v>
      </c>
      <c r="J12" s="251">
        <v>3</v>
      </c>
      <c r="K12" s="252">
        <v>0.5</v>
      </c>
      <c r="L12" s="252">
        <v>1.04</v>
      </c>
      <c r="M12" s="252">
        <v>1.04</v>
      </c>
      <c r="N12" s="252">
        <v>0.5</v>
      </c>
      <c r="O12" s="250">
        <v>4.8</v>
      </c>
      <c r="P12" s="253">
        <v>2</v>
      </c>
      <c r="Q12" s="253">
        <v>1.5</v>
      </c>
      <c r="R12" s="253">
        <v>2.7</v>
      </c>
      <c r="S12" s="250">
        <v>4.8</v>
      </c>
      <c r="T12" s="253">
        <v>3</v>
      </c>
      <c r="U12" s="230">
        <v>1.7</v>
      </c>
      <c r="V12" s="230">
        <v>1</v>
      </c>
      <c r="W12" s="230">
        <v>2.7</v>
      </c>
      <c r="X12" s="238">
        <v>4.8</v>
      </c>
      <c r="Y12" s="223" t="b">
        <f>IF(C12&lt;$X12,TRUE,FALSE)</f>
        <v>0</v>
      </c>
      <c r="Z12" s="223" t="b">
        <f t="shared" si="3"/>
        <v>1</v>
      </c>
      <c r="AA12" s="223" t="b">
        <f t="shared" si="3"/>
        <v>0</v>
      </c>
      <c r="AB12" s="223" t="b">
        <f t="shared" si="3"/>
        <v>1</v>
      </c>
      <c r="AC12" s="223" t="b">
        <f t="shared" si="3"/>
        <v>0</v>
      </c>
      <c r="AD12" s="223" t="b">
        <f t="shared" si="3"/>
        <v>1</v>
      </c>
      <c r="AE12" s="223" t="b">
        <f t="shared" si="3"/>
        <v>0</v>
      </c>
      <c r="AF12" s="223" t="b">
        <f t="shared" si="3"/>
        <v>1</v>
      </c>
      <c r="AG12" s="223" t="b">
        <f t="shared" si="3"/>
        <v>1</v>
      </c>
      <c r="AH12" s="223" t="b">
        <f t="shared" si="3"/>
        <v>1</v>
      </c>
      <c r="AI12" s="223" t="b">
        <f t="shared" si="3"/>
        <v>1</v>
      </c>
      <c r="AJ12" s="223" t="b">
        <f t="shared" si="3"/>
        <v>1</v>
      </c>
      <c r="AK12" s="223" t="b">
        <f t="shared" si="3"/>
        <v>0</v>
      </c>
      <c r="AL12" s="223" t="b">
        <f t="shared" si="3"/>
        <v>1</v>
      </c>
      <c r="AM12" s="223" t="b">
        <f t="shared" si="3"/>
        <v>1</v>
      </c>
      <c r="AN12" s="223" t="b">
        <f t="shared" si="3"/>
        <v>1</v>
      </c>
      <c r="AO12" s="223" t="b">
        <f t="shared" si="3"/>
        <v>0</v>
      </c>
      <c r="AP12" s="223" t="b">
        <f t="shared" si="3"/>
        <v>1</v>
      </c>
      <c r="AQ12" s="223" t="b">
        <f t="shared" si="3"/>
        <v>1</v>
      </c>
      <c r="AR12" s="223" t="b">
        <f t="shared" si="3"/>
        <v>1</v>
      </c>
      <c r="AS12" s="223" t="b">
        <f t="shared" si="3"/>
        <v>1</v>
      </c>
    </row>
    <row r="13" spans="1:45" s="2" customFormat="1" ht="12.75">
      <c r="A13" s="118">
        <v>8</v>
      </c>
      <c r="B13" s="153" t="s">
        <v>24</v>
      </c>
      <c r="C13" s="248">
        <v>2.99</v>
      </c>
      <c r="D13" s="249">
        <v>2.99</v>
      </c>
      <c r="E13" s="250">
        <v>2.99</v>
      </c>
      <c r="F13" s="250">
        <v>2.99</v>
      </c>
      <c r="G13" s="251">
        <v>3.1</v>
      </c>
      <c r="H13" s="251">
        <v>3.1</v>
      </c>
      <c r="I13" s="251">
        <v>3.2</v>
      </c>
      <c r="J13" s="251">
        <v>3</v>
      </c>
      <c r="K13" s="252">
        <v>3</v>
      </c>
      <c r="L13" s="250">
        <v>2.99</v>
      </c>
      <c r="M13" s="252">
        <v>3</v>
      </c>
      <c r="N13" s="252">
        <v>3</v>
      </c>
      <c r="O13" s="252">
        <v>3.1</v>
      </c>
      <c r="P13" s="250">
        <v>2.99</v>
      </c>
      <c r="Q13" s="253">
        <v>3</v>
      </c>
      <c r="R13" s="253">
        <v>3.3</v>
      </c>
      <c r="S13" s="253">
        <v>3.2</v>
      </c>
      <c r="T13" s="253">
        <v>3</v>
      </c>
      <c r="U13" s="230">
        <v>3.4</v>
      </c>
      <c r="V13" s="230">
        <v>3.7</v>
      </c>
      <c r="W13" s="230">
        <v>3.5</v>
      </c>
      <c r="X13" s="238">
        <v>2.99</v>
      </c>
      <c r="Y13" s="223" t="b">
        <f>IF(C13&gt;$X13,TRUE,FALSE)</f>
        <v>0</v>
      </c>
      <c r="Z13" s="223" t="b">
        <f t="shared" ref="Z13:AS13" si="4">IF(D13&gt;$X13,TRUE,FALSE)</f>
        <v>0</v>
      </c>
      <c r="AA13" s="223" t="b">
        <f t="shared" si="4"/>
        <v>0</v>
      </c>
      <c r="AB13" s="223" t="b">
        <f t="shared" si="4"/>
        <v>0</v>
      </c>
      <c r="AC13" s="223" t="b">
        <f t="shared" si="4"/>
        <v>1</v>
      </c>
      <c r="AD13" s="223" t="b">
        <f t="shared" si="4"/>
        <v>1</v>
      </c>
      <c r="AE13" s="223" t="b">
        <f t="shared" si="4"/>
        <v>1</v>
      </c>
      <c r="AF13" s="223" t="b">
        <f t="shared" si="4"/>
        <v>1</v>
      </c>
      <c r="AG13" s="223" t="b">
        <f t="shared" si="4"/>
        <v>1</v>
      </c>
      <c r="AH13" s="223" t="b">
        <f t="shared" si="4"/>
        <v>0</v>
      </c>
      <c r="AI13" s="223" t="b">
        <f t="shared" si="4"/>
        <v>1</v>
      </c>
      <c r="AJ13" s="223" t="b">
        <f t="shared" si="4"/>
        <v>1</v>
      </c>
      <c r="AK13" s="223" t="b">
        <f t="shared" si="4"/>
        <v>1</v>
      </c>
      <c r="AL13" s="223" t="b">
        <f t="shared" si="4"/>
        <v>0</v>
      </c>
      <c r="AM13" s="223" t="b">
        <f t="shared" si="4"/>
        <v>1</v>
      </c>
      <c r="AN13" s="223" t="b">
        <f t="shared" si="4"/>
        <v>1</v>
      </c>
      <c r="AO13" s="223" t="b">
        <f t="shared" si="4"/>
        <v>1</v>
      </c>
      <c r="AP13" s="223" t="b">
        <f t="shared" si="4"/>
        <v>1</v>
      </c>
      <c r="AQ13" s="223" t="b">
        <f t="shared" si="4"/>
        <v>1</v>
      </c>
      <c r="AR13" s="223" t="b">
        <f t="shared" si="4"/>
        <v>1</v>
      </c>
      <c r="AS13" s="223" t="b">
        <f t="shared" si="4"/>
        <v>1</v>
      </c>
    </row>
    <row r="14" spans="1:45" ht="15.75">
      <c r="A14" s="10">
        <v>9</v>
      </c>
      <c r="B14" s="268" t="s">
        <v>170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</row>
    <row r="15" spans="1:45" ht="15.75">
      <c r="A15" s="10">
        <v>10</v>
      </c>
      <c r="B15" s="30" t="s">
        <v>31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</row>
    <row r="16" spans="1:45" ht="15.75">
      <c r="A16" s="10">
        <v>11</v>
      </c>
      <c r="B16" s="30" t="s">
        <v>32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</row>
    <row r="17" spans="1:45" ht="15.75">
      <c r="A17" s="10">
        <v>12</v>
      </c>
      <c r="B17" s="30" t="s">
        <v>33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</row>
    <row r="18" spans="1:45" ht="15.75">
      <c r="A18" s="10">
        <v>13</v>
      </c>
      <c r="B18" s="30" t="s">
        <v>34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</row>
    <row r="19" spans="1:45" ht="15.75">
      <c r="A19" s="10">
        <v>14</v>
      </c>
      <c r="B19" s="30" t="s">
        <v>35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</row>
    <row r="20" spans="1:45" ht="15.75">
      <c r="A20" s="10">
        <v>15</v>
      </c>
      <c r="B20" s="30" t="s">
        <v>36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</row>
    <row r="21" spans="1:45" ht="15.75">
      <c r="A21" s="10">
        <v>16</v>
      </c>
      <c r="B21" s="268" t="s">
        <v>171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</row>
    <row r="22" spans="1:45" ht="15.75">
      <c r="A22" s="10">
        <v>17</v>
      </c>
      <c r="B22" s="30" t="s">
        <v>37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</row>
    <row r="23" spans="1:45" ht="15.75">
      <c r="A23" s="10">
        <v>18</v>
      </c>
      <c r="B23" s="269" t="s">
        <v>38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</row>
    <row r="24" spans="1:45" ht="15.75">
      <c r="A24" s="10">
        <v>19</v>
      </c>
      <c r="B24" s="269" t="s">
        <v>39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</row>
    <row r="25" spans="1:45" ht="15.75">
      <c r="A25" s="11"/>
      <c r="B25" s="30"/>
      <c r="C25" s="38"/>
      <c r="D25" s="153" t="s">
        <v>351</v>
      </c>
      <c r="E25" s="153" t="s">
        <v>395</v>
      </c>
      <c r="F25" s="153" t="s">
        <v>353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</row>
    <row r="26" spans="1:45" ht="15.75">
      <c r="A26" s="11"/>
      <c r="B26" s="270" t="s">
        <v>235</v>
      </c>
      <c r="C26" s="153">
        <v>0</v>
      </c>
      <c r="D26" s="38">
        <v>0</v>
      </c>
      <c r="E26" s="223" t="s">
        <v>404</v>
      </c>
      <c r="F26" s="223" t="s">
        <v>400</v>
      </c>
      <c r="G26" s="223" t="s">
        <v>402</v>
      </c>
      <c r="H26" s="38"/>
      <c r="I26" s="271"/>
      <c r="J26" s="238" t="s">
        <v>394</v>
      </c>
      <c r="K26" s="271"/>
      <c r="L26" s="38"/>
      <c r="M26" s="38"/>
      <c r="N26" s="38"/>
      <c r="O26" s="38"/>
      <c r="P26" s="38"/>
      <c r="Q26" s="272">
        <v>0</v>
      </c>
      <c r="R26" s="457" t="s">
        <v>399</v>
      </c>
      <c r="S26" s="273">
        <v>0</v>
      </c>
      <c r="T26" s="38"/>
      <c r="U26" s="38"/>
      <c r="V26" s="38"/>
      <c r="W26" s="38"/>
      <c r="X26" s="38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</row>
    <row r="27" spans="1:45" ht="15.75">
      <c r="A27" s="11"/>
      <c r="B27" s="270" t="s">
        <v>181</v>
      </c>
      <c r="C27" s="153">
        <v>1</v>
      </c>
      <c r="D27" s="153">
        <v>1</v>
      </c>
      <c r="E27" s="223" t="s">
        <v>404</v>
      </c>
      <c r="F27" s="153" t="s">
        <v>354</v>
      </c>
      <c r="G27" s="153" t="s">
        <v>380</v>
      </c>
      <c r="H27" s="38"/>
      <c r="I27" s="238" t="s">
        <v>371</v>
      </c>
      <c r="J27" s="238">
        <f ca="1">HLOOKUP(variante,INDIRECT(camino_t),3)</f>
        <v>0</v>
      </c>
      <c r="K27" s="274" t="str">
        <f ca="1">HLOOKUP(variante,INDIRECT(camino_tf),3)</f>
        <v xml:space="preserve"> </v>
      </c>
      <c r="L27" s="38"/>
      <c r="M27" s="38"/>
      <c r="N27" s="38"/>
      <c r="O27" s="38"/>
      <c r="P27" s="38"/>
      <c r="Q27" s="272">
        <v>0</v>
      </c>
      <c r="R27" s="457"/>
      <c r="S27" s="273" t="s">
        <v>401</v>
      </c>
      <c r="T27" s="38"/>
      <c r="U27" s="38"/>
      <c r="V27" s="158"/>
      <c r="W27" s="38"/>
      <c r="X27" s="38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</row>
    <row r="28" spans="1:45" ht="15.75">
      <c r="A28" s="11"/>
      <c r="B28" s="270" t="s">
        <v>241</v>
      </c>
      <c r="C28" s="153">
        <v>2</v>
      </c>
      <c r="D28" s="153">
        <v>2</v>
      </c>
      <c r="E28" s="223" t="s">
        <v>404</v>
      </c>
      <c r="F28" s="153" t="s">
        <v>355</v>
      </c>
      <c r="G28" s="153" t="s">
        <v>381</v>
      </c>
      <c r="H28" s="38"/>
      <c r="I28" s="238" t="s">
        <v>372</v>
      </c>
      <c r="J28" s="238">
        <f ca="1">HLOOKUP(variante,INDIRECT(camino_t),4)</f>
        <v>0</v>
      </c>
      <c r="K28" s="274" t="str">
        <f ca="1">HLOOKUP(variante,INDIRECT(camino_tf),4)</f>
        <v xml:space="preserve"> </v>
      </c>
      <c r="L28" s="38"/>
      <c r="M28" s="38"/>
      <c r="N28" s="38"/>
      <c r="O28" s="38"/>
      <c r="P28" s="38"/>
      <c r="Q28" s="272">
        <v>0</v>
      </c>
      <c r="R28" s="457"/>
      <c r="S28" s="273" t="s">
        <v>401</v>
      </c>
      <c r="T28" s="38"/>
      <c r="U28" s="38"/>
      <c r="V28" s="158"/>
      <c r="W28" s="38"/>
      <c r="X28" s="38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</row>
    <row r="29" spans="1:45" ht="15.75">
      <c r="A29" s="11"/>
      <c r="B29" s="270" t="s">
        <v>191</v>
      </c>
      <c r="C29" s="153">
        <v>3</v>
      </c>
      <c r="D29" s="153">
        <v>3</v>
      </c>
      <c r="E29" s="223" t="s">
        <v>404</v>
      </c>
      <c r="F29" s="153" t="s">
        <v>358</v>
      </c>
      <c r="G29" s="153" t="s">
        <v>382</v>
      </c>
      <c r="H29" s="38"/>
      <c r="I29" s="238" t="s">
        <v>373</v>
      </c>
      <c r="J29" s="238">
        <f ca="1">HLOOKUP(variante,INDIRECT(camino_t),5)</f>
        <v>0</v>
      </c>
      <c r="K29" s="274" t="str">
        <f ca="1">HLOOKUP(variante,INDIRECT(camino_tf),5)</f>
        <v xml:space="preserve"> </v>
      </c>
      <c r="L29" s="38"/>
      <c r="M29" s="38"/>
      <c r="N29" s="38"/>
      <c r="O29" s="38"/>
      <c r="P29" s="38"/>
      <c r="Q29" s="272">
        <v>0</v>
      </c>
      <c r="R29" s="457"/>
      <c r="S29" s="273" t="s">
        <v>401</v>
      </c>
      <c r="T29" s="38"/>
      <c r="U29" s="38"/>
      <c r="V29" s="38"/>
      <c r="W29" s="38"/>
      <c r="X29" s="38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</row>
    <row r="30" spans="1:45" ht="15.75">
      <c r="A30" s="11"/>
      <c r="B30" s="270" t="s">
        <v>423</v>
      </c>
      <c r="C30" s="153">
        <v>4</v>
      </c>
      <c r="D30" s="153">
        <v>4</v>
      </c>
      <c r="E30" s="153" t="s">
        <v>396</v>
      </c>
      <c r="F30" s="153" t="s">
        <v>356</v>
      </c>
      <c r="G30" s="153" t="s">
        <v>383</v>
      </c>
      <c r="H30" s="38"/>
      <c r="I30" s="238" t="s">
        <v>374</v>
      </c>
      <c r="J30" s="238">
        <f ca="1">HLOOKUP(variante,INDIRECT(camino_t),6)</f>
        <v>0</v>
      </c>
      <c r="K30" s="274" t="str">
        <f ca="1">HLOOKUP(variante,INDIRECT(camino_tf),6)</f>
        <v xml:space="preserve"> </v>
      </c>
      <c r="L30" s="38"/>
      <c r="M30" s="38"/>
      <c r="N30" s="38"/>
      <c r="O30" s="38"/>
      <c r="P30" s="38"/>
      <c r="Q30" s="272">
        <v>0</v>
      </c>
      <c r="R30" s="457"/>
      <c r="S30" s="273" t="s">
        <v>401</v>
      </c>
      <c r="T30" s="38"/>
      <c r="U30" s="38"/>
      <c r="V30" s="38"/>
      <c r="W30" s="38"/>
      <c r="X30" s="38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</row>
    <row r="31" spans="1:45" ht="15.75">
      <c r="A31" s="11"/>
      <c r="B31" s="270" t="s">
        <v>424</v>
      </c>
      <c r="C31" s="153">
        <v>5</v>
      </c>
      <c r="D31" s="153">
        <v>9</v>
      </c>
      <c r="E31" s="153" t="s">
        <v>396</v>
      </c>
      <c r="F31" s="153" t="s">
        <v>357</v>
      </c>
      <c r="G31" s="153" t="s">
        <v>384</v>
      </c>
      <c r="H31" s="38"/>
      <c r="I31" s="238" t="s">
        <v>375</v>
      </c>
      <c r="J31" s="238">
        <f ca="1">HLOOKUP(variante,INDIRECT(camino_t),7)</f>
        <v>0</v>
      </c>
      <c r="K31" s="274" t="str">
        <f ca="1">HLOOKUP(variante,INDIRECT(camino_tf),7)</f>
        <v xml:space="preserve"> </v>
      </c>
      <c r="L31" s="38"/>
      <c r="M31" s="38"/>
      <c r="N31" s="38"/>
      <c r="O31" s="38"/>
      <c r="P31" s="38"/>
      <c r="Q31" s="272">
        <v>0</v>
      </c>
      <c r="R31" s="457"/>
      <c r="S31" s="273" t="s">
        <v>401</v>
      </c>
      <c r="T31" s="38"/>
      <c r="U31" s="38"/>
      <c r="V31" s="429"/>
      <c r="W31" s="38"/>
      <c r="X31" s="38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</row>
    <row r="32" spans="1:45">
      <c r="B32" s="270" t="s">
        <v>425</v>
      </c>
      <c r="C32" s="153">
        <v>6</v>
      </c>
      <c r="D32" s="153">
        <v>14</v>
      </c>
      <c r="E32" s="153" t="s">
        <v>396</v>
      </c>
      <c r="F32" s="153" t="s">
        <v>359</v>
      </c>
      <c r="G32" s="153" t="s">
        <v>385</v>
      </c>
      <c r="H32" s="38"/>
      <c r="I32" s="238" t="s">
        <v>376</v>
      </c>
      <c r="J32" s="238">
        <f ca="1">HLOOKUP(variante,INDIRECT(camino_t),8)</f>
        <v>0</v>
      </c>
      <c r="K32" s="274" t="str">
        <f ca="1">HLOOKUP(variante,INDIRECT(camino_tf),8)</f>
        <v xml:space="preserve"> </v>
      </c>
      <c r="L32" s="38"/>
      <c r="M32" s="38"/>
      <c r="N32" s="38"/>
      <c r="O32" s="38"/>
      <c r="P32" s="38"/>
      <c r="Q32" s="272">
        <v>0</v>
      </c>
      <c r="R32" s="457"/>
      <c r="S32" s="273" t="s">
        <v>401</v>
      </c>
      <c r="T32" s="38"/>
      <c r="U32" s="38"/>
      <c r="V32" s="38"/>
      <c r="W32" s="38"/>
      <c r="X32" s="38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</row>
    <row r="33" spans="2:45">
      <c r="B33" s="270" t="s">
        <v>426</v>
      </c>
      <c r="C33" s="153">
        <v>7</v>
      </c>
      <c r="D33" s="153">
        <v>19</v>
      </c>
      <c r="E33" s="153" t="s">
        <v>397</v>
      </c>
      <c r="F33" s="153" t="s">
        <v>360</v>
      </c>
      <c r="G33" s="153" t="s">
        <v>386</v>
      </c>
      <c r="H33" s="38"/>
      <c r="I33" s="238" t="s">
        <v>377</v>
      </c>
      <c r="J33" s="238">
        <f ca="1">HLOOKUP(variante,INDIRECT(camino_t),9)</f>
        <v>0</v>
      </c>
      <c r="K33" s="274" t="str">
        <f ca="1">HLOOKUP(variante,INDIRECT(camino_tf),9)</f>
        <v xml:space="preserve"> </v>
      </c>
      <c r="L33" s="38"/>
      <c r="M33" s="38"/>
      <c r="N33" s="38"/>
      <c r="O33" s="38"/>
      <c r="P33" s="38"/>
      <c r="Q33" s="272">
        <v>0</v>
      </c>
      <c r="R33" s="457"/>
      <c r="S33" s="273" t="s">
        <v>401</v>
      </c>
      <c r="T33" s="38"/>
      <c r="U33" s="38"/>
      <c r="V33" s="38"/>
      <c r="W33" s="38"/>
      <c r="X33" s="38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</row>
    <row r="34" spans="2:45">
      <c r="B34" s="153"/>
      <c r="C34" s="153"/>
      <c r="D34" s="38"/>
      <c r="E34" s="38"/>
      <c r="F34" s="38"/>
      <c r="G34" s="38"/>
      <c r="H34" s="38"/>
      <c r="I34" s="238" t="s">
        <v>378</v>
      </c>
      <c r="J34" s="238">
        <f ca="1">HLOOKUP(variante,INDIRECT(camino_t),10)</f>
        <v>0</v>
      </c>
      <c r="K34" s="274" t="str">
        <f ca="1">HLOOKUP(variante,INDIRECT(camino_tf),10)</f>
        <v xml:space="preserve"> </v>
      </c>
      <c r="L34" s="38"/>
      <c r="M34" s="38"/>
      <c r="N34" s="38"/>
      <c r="O34" s="38"/>
      <c r="P34" s="38"/>
      <c r="Q34" s="272">
        <v>0</v>
      </c>
      <c r="R34" s="457"/>
      <c r="S34" s="273" t="s">
        <v>401</v>
      </c>
      <c r="T34" s="38"/>
      <c r="U34" s="38"/>
      <c r="V34" s="38"/>
      <c r="W34" s="38"/>
      <c r="X34" s="38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</row>
    <row r="35" spans="2:45">
      <c r="B35" s="270" t="s">
        <v>247</v>
      </c>
      <c r="C35" s="153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272">
        <v>0</v>
      </c>
      <c r="R35" s="38"/>
      <c r="S35" s="273" t="s">
        <v>401</v>
      </c>
      <c r="T35" s="38"/>
      <c r="U35" s="38"/>
      <c r="V35" s="38"/>
      <c r="W35" s="38"/>
      <c r="X35" s="38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</row>
    <row r="36" spans="2:45">
      <c r="B36" s="275" t="str">
        <f>tipo_eval</f>
        <v>Camino de Cumplimiento</v>
      </c>
      <c r="C36" s="153">
        <f>VLOOKUP(camino,B26:C33,2)</f>
        <v>0</v>
      </c>
      <c r="D36" s="153">
        <f>VLOOKUP(camino2,t_caminos,2)</f>
        <v>0</v>
      </c>
      <c r="E36" s="153" t="str">
        <f>VLOOKUP(camino2,t_caminos,3)</f>
        <v>list1</v>
      </c>
      <c r="F36" s="153" t="str">
        <f>VLOOKUP(camino2,t_caminos,4)</f>
        <v>t_blank</v>
      </c>
      <c r="G36" s="153" t="str">
        <f>VLOOKUP(camino2,t_caminos,5)</f>
        <v>tf_blank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</row>
    <row r="37" spans="2:45">
      <c r="B37" s="275" t="s">
        <v>352</v>
      </c>
      <c r="C37" s="153">
        <f>variante</f>
        <v>5</v>
      </c>
      <c r="D37" s="153"/>
      <c r="E37" s="153"/>
      <c r="F37" s="153"/>
      <c r="G37" s="153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</row>
    <row r="38" spans="2:4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</row>
  </sheetData>
  <sheetProtection algorithmName="SHA-512" hashValue="mgSBOZ5jtZnQwQkq45T4WNlUjGWyN1eWm5z6R6FaH8sWqYXEyebe9U+RkdxlZ5YZxU0jTzuzJ5JTmIzJpJiFDQ==" saltValue="6nvwNMVxZCxnxrkVHgEyrw==" spinCount="100000" sheet="1" selectLockedCells="1" selectUnlockedCells="1"/>
  <mergeCells count="2">
    <mergeCell ref="B1:F1"/>
    <mergeCell ref="R26:R34"/>
  </mergeCells>
  <phoneticPr fontId="1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AE61"/>
  <sheetViews>
    <sheetView showGridLines="0" showRowColHeaders="0" zoomScaleNormal="100" zoomScaleSheetLayoutView="100" workbookViewId="0">
      <selection activeCell="E8" sqref="E8:O8"/>
    </sheetView>
  </sheetViews>
  <sheetFormatPr baseColWidth="10" defaultColWidth="5.88671875" defaultRowHeight="15" customHeight="1" zeroHeight="1"/>
  <cols>
    <col min="1" max="1" width="2.44140625" customWidth="1"/>
    <col min="2" max="2" width="13.33203125" customWidth="1"/>
    <col min="3" max="3" width="2.5546875" customWidth="1"/>
    <col min="4" max="4" width="8" customWidth="1"/>
    <col min="5" max="5" width="3.77734375" customWidth="1"/>
    <col min="6" max="6" width="6.5546875" customWidth="1"/>
    <col min="7" max="7" width="2.44140625" customWidth="1"/>
    <col min="8" max="8" width="9.21875" customWidth="1"/>
    <col min="9" max="9" width="2.44140625" customWidth="1"/>
    <col min="10" max="10" width="8.44140625" customWidth="1"/>
    <col min="11" max="11" width="2.5546875" customWidth="1"/>
    <col min="12" max="12" width="4" customWidth="1"/>
    <col min="13" max="13" width="8.44140625" customWidth="1"/>
    <col min="14" max="14" width="2.5546875" customWidth="1"/>
    <col min="15" max="15" width="9.44140625" customWidth="1"/>
    <col min="16" max="16" width="1.6640625" style="92" hidden="1" customWidth="1"/>
    <col min="17" max="26" width="5.88671875" style="92" hidden="1" customWidth="1"/>
    <col min="27" max="29" width="5.88671875" style="92"/>
  </cols>
  <sheetData>
    <row r="1" spans="1:31" ht="26.1" customHeight="1">
      <c r="A1" s="38"/>
      <c r="B1" s="188" t="s">
        <v>0</v>
      </c>
      <c r="C1" s="189"/>
      <c r="D1" s="190"/>
      <c r="E1" s="190"/>
      <c r="F1" s="190"/>
      <c r="G1" s="190"/>
      <c r="H1" s="191"/>
      <c r="I1" s="192"/>
      <c r="J1" s="192"/>
      <c r="K1" s="192"/>
      <c r="L1" s="192"/>
      <c r="M1" s="192"/>
      <c r="N1" s="192"/>
      <c r="O1" s="193"/>
      <c r="T1" s="69"/>
      <c r="W1" s="69"/>
      <c r="X1" s="69"/>
      <c r="Y1" s="69"/>
      <c r="Z1" s="69"/>
      <c r="AA1" s="69"/>
      <c r="AB1" s="69"/>
      <c r="AC1" s="69"/>
      <c r="AD1" s="97"/>
      <c r="AE1" s="69"/>
    </row>
    <row r="2" spans="1:31">
      <c r="A2" s="38"/>
      <c r="B2" s="147" t="str">
        <f>"Para la evaluación energética: "&amp;IF(camino2&lt;&gt;0,tipo_eval,"")</f>
        <v xml:space="preserve">Para la evaluación energética: 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94"/>
      <c r="T2" s="69"/>
      <c r="W2" s="69"/>
      <c r="X2" s="69"/>
      <c r="Y2" s="69"/>
      <c r="Z2" s="69"/>
      <c r="AA2" s="69"/>
      <c r="AB2" s="69"/>
      <c r="AC2" s="69"/>
      <c r="AD2" s="97"/>
      <c r="AE2" s="69"/>
    </row>
    <row r="3" spans="1:31" ht="8.1" customHeight="1">
      <c r="A3" s="38"/>
      <c r="B3" s="195"/>
      <c r="C3" s="14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94"/>
      <c r="T3" s="69"/>
      <c r="W3" s="69"/>
      <c r="X3" s="69"/>
      <c r="Y3" s="69"/>
      <c r="Z3" s="70"/>
      <c r="AA3" s="70"/>
      <c r="AB3" s="70"/>
      <c r="AC3" s="69"/>
      <c r="AD3" s="97"/>
      <c r="AE3" s="69"/>
    </row>
    <row r="4" spans="1:31" ht="15" customHeight="1">
      <c r="A4" s="38"/>
      <c r="B4" s="195"/>
      <c r="C4" s="148"/>
      <c r="D4" s="38"/>
      <c r="E4" s="38"/>
      <c r="F4" s="38"/>
      <c r="G4" s="38"/>
      <c r="H4" s="465" t="s">
        <v>164</v>
      </c>
      <c r="I4" s="465"/>
      <c r="J4" s="465"/>
      <c r="K4" s="465"/>
      <c r="L4" s="466" t="str">
        <f>IF(AND(listo="Sí",Info_completado=TRUE),TEXT(Data!I38,"00000000000"),"INCOMPLETO")</f>
        <v>INCOMPLETO</v>
      </c>
      <c r="M4" s="466"/>
      <c r="N4" s="466"/>
      <c r="O4" s="467"/>
      <c r="T4" s="69"/>
      <c r="W4" s="69"/>
      <c r="X4" s="69"/>
      <c r="Y4" s="69"/>
      <c r="Z4" s="70"/>
      <c r="AA4" s="70"/>
      <c r="AB4" s="104"/>
      <c r="AC4" s="69"/>
      <c r="AD4" s="97"/>
      <c r="AE4" s="69"/>
    </row>
    <row r="5" spans="1:31" ht="15" customHeight="1">
      <c r="A5" s="38"/>
      <c r="B5" s="196"/>
      <c r="C5" s="38"/>
      <c r="D5" s="38"/>
      <c r="E5" s="38"/>
      <c r="F5" s="38"/>
      <c r="G5" s="38"/>
      <c r="H5" s="465"/>
      <c r="I5" s="465"/>
      <c r="J5" s="465"/>
      <c r="K5" s="465"/>
      <c r="L5" s="466"/>
      <c r="M5" s="466"/>
      <c r="N5" s="466"/>
      <c r="O5" s="467"/>
      <c r="T5" s="93"/>
      <c r="W5" s="69"/>
      <c r="X5" s="69"/>
      <c r="Y5" s="69"/>
      <c r="Z5" s="70"/>
      <c r="AA5" s="70"/>
      <c r="AB5" s="70"/>
      <c r="AC5" s="69"/>
      <c r="AD5" s="97"/>
      <c r="AE5" s="69"/>
    </row>
    <row r="6" spans="1:31" ht="15.75">
      <c r="A6" s="38"/>
      <c r="B6" s="468" t="s">
        <v>1</v>
      </c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70"/>
      <c r="T6" s="93"/>
      <c r="W6" s="69"/>
      <c r="X6" s="69"/>
      <c r="Y6" s="69"/>
      <c r="Z6" s="70"/>
      <c r="AA6" s="70"/>
      <c r="AB6" s="70"/>
      <c r="AC6" s="69"/>
      <c r="AD6" s="97"/>
      <c r="AE6" s="69"/>
    </row>
    <row r="7" spans="1:31" ht="3.95" customHeight="1">
      <c r="A7" s="38"/>
      <c r="B7" s="196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194"/>
      <c r="T7" s="93"/>
      <c r="W7" s="69"/>
      <c r="X7" s="69"/>
      <c r="Y7" s="69"/>
      <c r="Z7" s="70"/>
      <c r="AA7" s="70"/>
      <c r="AB7" s="70"/>
      <c r="AC7" s="69"/>
      <c r="AD7" s="97"/>
      <c r="AE7" s="69"/>
    </row>
    <row r="8" spans="1:31" ht="15.95" customHeight="1">
      <c r="A8" s="38"/>
      <c r="B8" s="458" t="s">
        <v>88</v>
      </c>
      <c r="C8" s="459"/>
      <c r="D8" s="459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2"/>
      <c r="T8" s="93"/>
      <c r="W8" s="69"/>
      <c r="X8" s="69"/>
      <c r="Y8" s="69"/>
      <c r="Z8" s="70"/>
      <c r="AA8" s="70"/>
      <c r="AB8" s="70"/>
      <c r="AC8" s="69"/>
      <c r="AD8" s="97"/>
      <c r="AE8" s="69"/>
    </row>
    <row r="9" spans="1:31" ht="15.95" customHeight="1">
      <c r="A9" s="38"/>
      <c r="B9" s="458" t="s">
        <v>174</v>
      </c>
      <c r="C9" s="459"/>
      <c r="D9" s="459"/>
      <c r="E9" s="460"/>
      <c r="F9" s="460"/>
      <c r="G9" s="460"/>
      <c r="H9" s="460"/>
      <c r="I9" s="460"/>
      <c r="J9" s="460"/>
      <c r="K9" s="460"/>
      <c r="L9" s="461" t="s">
        <v>172</v>
      </c>
      <c r="M9" s="462"/>
      <c r="N9" s="463"/>
      <c r="O9" s="464"/>
      <c r="T9" s="93"/>
      <c r="W9" s="69"/>
      <c r="X9" s="69"/>
      <c r="Y9" s="69"/>
      <c r="Z9" s="70"/>
      <c r="AA9" s="70"/>
      <c r="AB9" s="70"/>
      <c r="AC9" s="69"/>
      <c r="AD9" s="97"/>
      <c r="AE9" s="69"/>
    </row>
    <row r="10" spans="1:31" ht="3.95" customHeight="1">
      <c r="A10" s="38"/>
      <c r="B10" s="458"/>
      <c r="C10" s="459"/>
      <c r="D10" s="459"/>
      <c r="E10" s="473"/>
      <c r="F10" s="473"/>
      <c r="G10" s="473"/>
      <c r="H10" s="473"/>
      <c r="I10" s="473"/>
      <c r="J10" s="473"/>
      <c r="K10" s="473"/>
      <c r="L10" s="474"/>
      <c r="M10" s="474"/>
      <c r="N10" s="473"/>
      <c r="O10" s="475"/>
      <c r="T10" s="93"/>
      <c r="W10" s="69"/>
      <c r="X10" s="69"/>
      <c r="Y10" s="69"/>
      <c r="Z10" s="70"/>
      <c r="AA10" s="70"/>
      <c r="AB10" s="70"/>
      <c r="AC10" s="69"/>
      <c r="AD10" s="97"/>
      <c r="AE10" s="69"/>
    </row>
    <row r="11" spans="1:31" ht="15.75" customHeight="1">
      <c r="A11" s="38"/>
      <c r="B11" s="197" t="s">
        <v>6</v>
      </c>
      <c r="C11" s="198"/>
      <c r="D11" s="200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2"/>
      <c r="R11" s="69"/>
      <c r="T11" s="69"/>
      <c r="U11" s="69"/>
      <c r="W11" s="94"/>
      <c r="X11" s="69"/>
      <c r="Y11" s="69"/>
      <c r="Z11" s="105"/>
      <c r="AA11" s="70"/>
      <c r="AB11" s="70"/>
      <c r="AC11" s="69"/>
      <c r="AD11" s="97"/>
      <c r="AE11" s="69"/>
    </row>
    <row r="12" spans="1:31" ht="3.95" customHeight="1">
      <c r="A12" s="38"/>
      <c r="B12" s="197"/>
      <c r="C12" s="198"/>
      <c r="D12" s="200"/>
      <c r="E12" s="473"/>
      <c r="F12" s="473"/>
      <c r="G12" s="473"/>
      <c r="H12" s="473"/>
      <c r="I12" s="473"/>
      <c r="J12" s="476"/>
      <c r="K12" s="476"/>
      <c r="L12" s="476"/>
      <c r="M12" s="476"/>
      <c r="N12" s="473"/>
      <c r="O12" s="475"/>
      <c r="R12" s="69"/>
      <c r="T12" s="69"/>
      <c r="U12" s="69"/>
      <c r="V12" s="92">
        <v>31</v>
      </c>
      <c r="W12" s="69"/>
      <c r="X12" s="69"/>
      <c r="Y12" s="69"/>
      <c r="Z12" s="70"/>
      <c r="AA12" s="70"/>
      <c r="AB12" s="70"/>
      <c r="AC12" s="69"/>
      <c r="AD12" s="97"/>
      <c r="AE12" s="69"/>
    </row>
    <row r="13" spans="1:31">
      <c r="A13" s="38"/>
      <c r="B13" s="197" t="s">
        <v>3</v>
      </c>
      <c r="C13" s="198"/>
      <c r="D13" s="200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2"/>
      <c r="R13" s="69"/>
      <c r="T13" s="69"/>
      <c r="U13" s="69"/>
      <c r="W13" s="69"/>
      <c r="X13" s="69"/>
      <c r="Y13" s="69"/>
      <c r="Z13" s="70"/>
      <c r="AA13" s="70"/>
      <c r="AB13" s="70"/>
      <c r="AC13" s="69"/>
      <c r="AD13" s="97"/>
      <c r="AE13" s="69"/>
    </row>
    <row r="14" spans="1:31" ht="3.95" customHeight="1">
      <c r="A14" s="38"/>
      <c r="B14" s="197"/>
      <c r="C14" s="198"/>
      <c r="D14" s="200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  <c r="R14" s="69"/>
      <c r="T14" s="69"/>
      <c r="U14" s="69"/>
      <c r="W14" s="69"/>
      <c r="X14" s="69"/>
      <c r="Y14" s="69"/>
      <c r="Z14" s="70"/>
      <c r="AA14" s="70"/>
      <c r="AB14" s="70"/>
      <c r="AC14" s="69"/>
      <c r="AD14" s="97"/>
      <c r="AE14" s="69"/>
    </row>
    <row r="15" spans="1:31" ht="15" customHeight="1">
      <c r="A15" s="38"/>
      <c r="B15" s="197" t="s">
        <v>421</v>
      </c>
      <c r="C15" s="198"/>
      <c r="D15" s="200"/>
      <c r="E15" s="477" t="s">
        <v>420</v>
      </c>
      <c r="F15" s="478"/>
      <c r="G15" s="478"/>
      <c r="H15" s="338"/>
      <c r="I15" s="339" t="s">
        <v>419</v>
      </c>
      <c r="J15" s="471"/>
      <c r="K15" s="471"/>
      <c r="L15" s="471"/>
      <c r="M15" s="339" t="s">
        <v>418</v>
      </c>
      <c r="N15" s="471"/>
      <c r="O15" s="472"/>
      <c r="R15" s="69"/>
      <c r="T15" s="69"/>
      <c r="U15" s="69"/>
      <c r="W15" s="69"/>
      <c r="X15" s="69"/>
      <c r="Y15" s="69"/>
      <c r="Z15" s="70"/>
      <c r="AA15" s="70"/>
      <c r="AB15" s="70"/>
      <c r="AC15" s="69"/>
      <c r="AD15" s="97"/>
      <c r="AE15" s="69"/>
    </row>
    <row r="16" spans="1:31">
      <c r="A16" s="38"/>
      <c r="B16" s="201" t="s">
        <v>2</v>
      </c>
      <c r="C16" s="202"/>
      <c r="D16" s="203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2"/>
      <c r="R16" s="69"/>
      <c r="T16" s="69"/>
      <c r="U16" s="69"/>
      <c r="W16" s="69"/>
      <c r="X16" s="94"/>
      <c r="Y16" s="69"/>
      <c r="Z16" s="70"/>
      <c r="AA16" s="70"/>
      <c r="AB16" s="108"/>
      <c r="AC16" s="69"/>
      <c r="AD16" s="97"/>
      <c r="AE16" s="69"/>
    </row>
    <row r="17" spans="1:31" ht="3.95" customHeight="1">
      <c r="A17" s="38"/>
      <c r="B17" s="201"/>
      <c r="C17" s="202"/>
      <c r="D17" s="203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04"/>
      <c r="R17" s="69"/>
      <c r="U17" s="69"/>
      <c r="W17" s="69"/>
      <c r="X17" s="69"/>
      <c r="Y17" s="69"/>
      <c r="Z17" s="70"/>
      <c r="AA17" s="70"/>
      <c r="AB17" s="70"/>
      <c r="AC17" s="69"/>
      <c r="AD17" s="97"/>
      <c r="AE17" s="69"/>
    </row>
    <row r="18" spans="1:31" ht="15" customHeight="1">
      <c r="A18" s="38"/>
      <c r="B18" s="201" t="s">
        <v>175</v>
      </c>
      <c r="C18" s="202"/>
      <c r="D18" s="203"/>
      <c r="E18" s="471"/>
      <c r="F18" s="471"/>
      <c r="G18" s="471"/>
      <c r="H18" s="471"/>
      <c r="I18" s="471"/>
      <c r="J18" s="471"/>
      <c r="K18" s="471"/>
      <c r="L18" s="479" t="s">
        <v>172</v>
      </c>
      <c r="M18" s="480"/>
      <c r="N18" s="463"/>
      <c r="O18" s="464"/>
      <c r="R18" s="69"/>
      <c r="U18" s="69"/>
      <c r="W18" s="69"/>
      <c r="X18" s="69"/>
      <c r="Y18" s="69"/>
      <c r="Z18" s="105"/>
      <c r="AA18" s="70"/>
      <c r="AB18" s="70"/>
      <c r="AC18" s="69"/>
      <c r="AD18" s="97"/>
      <c r="AE18" s="69"/>
    </row>
    <row r="19" spans="1:31" ht="3.95" customHeight="1">
      <c r="A19" s="38"/>
      <c r="B19" s="205"/>
      <c r="C19" s="203"/>
      <c r="D19" s="203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94"/>
      <c r="R19" s="69"/>
      <c r="U19" s="69"/>
      <c r="W19" s="69"/>
      <c r="X19" s="69"/>
      <c r="Y19" s="69"/>
      <c r="Z19" s="69"/>
      <c r="AA19" s="69"/>
      <c r="AB19" s="69"/>
      <c r="AC19" s="69"/>
      <c r="AD19" s="97"/>
      <c r="AE19" s="69"/>
    </row>
    <row r="20" spans="1:31" ht="27" customHeight="1">
      <c r="A20" s="38"/>
      <c r="B20" s="201" t="s">
        <v>5</v>
      </c>
      <c r="C20" s="202"/>
      <c r="D20" s="203"/>
      <c r="E20" s="471"/>
      <c r="F20" s="471"/>
      <c r="G20" s="471"/>
      <c r="H20" s="471"/>
      <c r="I20" s="471"/>
      <c r="J20" s="471"/>
      <c r="K20" s="471"/>
      <c r="L20" s="481" t="s">
        <v>176</v>
      </c>
      <c r="M20" s="481"/>
      <c r="N20" s="482"/>
      <c r="O20" s="483"/>
      <c r="R20" s="69"/>
      <c r="T20" s="90"/>
      <c r="U20" s="69"/>
      <c r="W20" s="69"/>
      <c r="X20" s="69"/>
      <c r="Y20" s="69"/>
      <c r="Z20" s="69"/>
      <c r="AA20" s="69"/>
      <c r="AB20" s="69"/>
      <c r="AC20" s="69"/>
      <c r="AD20" s="97"/>
      <c r="AE20" s="69"/>
    </row>
    <row r="21" spans="1:31" ht="3.95" customHeight="1">
      <c r="A21" s="38"/>
      <c r="B21" s="201"/>
      <c r="C21" s="202"/>
      <c r="D21" s="203"/>
      <c r="E21" s="180"/>
      <c r="F21" s="153"/>
      <c r="G21" s="180"/>
      <c r="H21" s="153"/>
      <c r="I21" s="180"/>
      <c r="J21" s="153"/>
      <c r="K21" s="153"/>
      <c r="L21" s="153"/>
      <c r="M21" s="153"/>
      <c r="N21" s="38"/>
      <c r="O21" s="194"/>
      <c r="R21" s="69"/>
      <c r="T21" s="90"/>
      <c r="U21" s="69"/>
      <c r="W21" s="69"/>
      <c r="X21" s="69"/>
      <c r="Y21" s="69"/>
      <c r="Z21" s="69"/>
      <c r="AA21" s="69"/>
      <c r="AB21" s="69"/>
      <c r="AC21" s="69"/>
      <c r="AD21" s="97"/>
      <c r="AE21" s="69"/>
    </row>
    <row r="22" spans="1:31">
      <c r="A22" s="38"/>
      <c r="B22" s="487" t="s">
        <v>177</v>
      </c>
      <c r="C22" s="488"/>
      <c r="D22" s="488"/>
      <c r="E22" s="471"/>
      <c r="F22" s="471"/>
      <c r="G22" s="153"/>
      <c r="H22" s="38"/>
      <c r="I22" s="206"/>
      <c r="J22" s="489" t="s">
        <v>178</v>
      </c>
      <c r="K22" s="489"/>
      <c r="L22" s="489"/>
      <c r="M22" s="489"/>
      <c r="N22" s="471"/>
      <c r="O22" s="472"/>
      <c r="R22" s="69"/>
      <c r="U22" s="69"/>
      <c r="W22" s="69"/>
      <c r="X22" s="69"/>
      <c r="Y22" s="69"/>
      <c r="Z22" s="69"/>
      <c r="AA22" s="69"/>
      <c r="AB22" s="69"/>
      <c r="AC22" s="69"/>
      <c r="AD22" s="97"/>
      <c r="AE22" s="69"/>
    </row>
    <row r="23" spans="1:31" ht="3.95" customHeight="1">
      <c r="A23" s="38"/>
      <c r="B23" s="201"/>
      <c r="C23" s="202"/>
      <c r="D23" s="203"/>
      <c r="E23" s="180"/>
      <c r="F23" s="153"/>
      <c r="G23" s="180"/>
      <c r="H23" s="153"/>
      <c r="I23" s="180"/>
      <c r="J23" s="153"/>
      <c r="K23" s="153"/>
      <c r="L23" s="153"/>
      <c r="M23" s="153"/>
      <c r="N23" s="38"/>
      <c r="O23" s="194"/>
      <c r="R23" s="69"/>
      <c r="U23" s="69"/>
      <c r="W23" s="69"/>
      <c r="X23" s="69"/>
      <c r="Y23" s="69"/>
      <c r="Z23" s="69"/>
      <c r="AA23" s="69"/>
      <c r="AB23" s="69"/>
      <c r="AC23" s="69"/>
      <c r="AD23" s="97"/>
      <c r="AE23" s="69"/>
    </row>
    <row r="24" spans="1:31" ht="15.95" customHeight="1">
      <c r="A24" s="38"/>
      <c r="B24" s="201" t="s">
        <v>179</v>
      </c>
      <c r="C24" s="202"/>
      <c r="D24" s="203"/>
      <c r="E24" s="471"/>
      <c r="F24" s="471"/>
      <c r="G24" s="153" t="s">
        <v>8</v>
      </c>
      <c r="H24" s="490" t="s">
        <v>324</v>
      </c>
      <c r="I24" s="490"/>
      <c r="J24" s="490"/>
      <c r="K24" s="490"/>
      <c r="L24" s="153"/>
      <c r="M24" s="491" t="str">
        <f>IF(tipo_edif="","",VLOOKUP(tipo_edif,t_edificios,4))</f>
        <v/>
      </c>
      <c r="N24" s="491"/>
      <c r="O24" s="491"/>
      <c r="R24" s="69"/>
      <c r="T24" s="90"/>
      <c r="U24" s="69"/>
      <c r="W24" s="69"/>
      <c r="X24" s="69"/>
      <c r="Y24" s="69"/>
      <c r="Z24" s="69"/>
      <c r="AA24" s="69"/>
      <c r="AB24" s="69"/>
      <c r="AC24" s="69"/>
      <c r="AD24" s="97"/>
      <c r="AE24" s="69"/>
    </row>
    <row r="25" spans="1:31" ht="3.95" customHeight="1">
      <c r="A25" s="38"/>
      <c r="B25" s="201"/>
      <c r="C25" s="202"/>
      <c r="D25" s="203"/>
      <c r="E25" s="180"/>
      <c r="F25" s="153"/>
      <c r="G25" s="180"/>
      <c r="H25" s="153"/>
      <c r="I25" s="180"/>
      <c r="J25" s="153"/>
      <c r="K25" s="153"/>
      <c r="L25" s="153"/>
      <c r="M25" s="153"/>
      <c r="N25" s="38"/>
      <c r="O25" s="194"/>
      <c r="R25" s="69"/>
      <c r="U25" s="69"/>
      <c r="W25" s="69"/>
      <c r="X25" s="69"/>
      <c r="Y25" s="69"/>
      <c r="Z25" s="69"/>
      <c r="AA25" s="69"/>
      <c r="AB25" s="69"/>
      <c r="AC25" s="69"/>
      <c r="AD25" s="97"/>
      <c r="AE25" s="69"/>
    </row>
    <row r="26" spans="1:31" ht="15" customHeight="1">
      <c r="A26" s="38"/>
      <c r="B26" s="201" t="s">
        <v>180</v>
      </c>
      <c r="C26" s="38"/>
      <c r="D26" s="38"/>
      <c r="E26" s="471" t="s">
        <v>235</v>
      </c>
      <c r="F26" s="471"/>
      <c r="G26" s="471"/>
      <c r="H26" s="471"/>
      <c r="I26" s="471"/>
      <c r="J26" s="471"/>
      <c r="K26" s="471"/>
      <c r="L26" s="471"/>
      <c r="M26" s="471"/>
      <c r="N26" s="471"/>
      <c r="O26" s="472"/>
      <c r="R26" s="69"/>
      <c r="U26" s="69"/>
      <c r="W26" s="69"/>
      <c r="X26" s="69"/>
      <c r="Y26" s="69"/>
      <c r="Z26" s="69"/>
      <c r="AA26" s="69"/>
      <c r="AB26" s="69"/>
      <c r="AC26" s="69"/>
      <c r="AD26" s="97"/>
      <c r="AE26" s="69"/>
    </row>
    <row r="27" spans="1:31" ht="3.95" customHeight="1">
      <c r="A27" s="38"/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9"/>
      <c r="R27" s="69"/>
      <c r="U27" s="69"/>
      <c r="W27" s="69"/>
      <c r="X27" s="69"/>
      <c r="Y27" s="69"/>
      <c r="Z27" s="69"/>
      <c r="AA27" s="69"/>
      <c r="AB27" s="69"/>
      <c r="AC27" s="69"/>
      <c r="AD27" s="97"/>
      <c r="AE27" s="69"/>
    </row>
    <row r="28" spans="1:31" ht="15.75" thickBot="1">
      <c r="A28" s="38"/>
      <c r="B28" s="337" t="s">
        <v>124</v>
      </c>
      <c r="C28" s="492" t="str">
        <f>IF(E18&lt;&gt;"",E18,"")</f>
        <v/>
      </c>
      <c r="D28" s="492"/>
      <c r="E28" s="492"/>
      <c r="F28" s="492"/>
      <c r="G28" s="492"/>
      <c r="H28" s="492"/>
      <c r="I28" s="493" t="s">
        <v>125</v>
      </c>
      <c r="J28" s="493"/>
      <c r="K28" s="493"/>
      <c r="L28" s="493"/>
      <c r="M28" s="493"/>
      <c r="N28" s="493"/>
      <c r="O28" s="494"/>
      <c r="R28" s="69"/>
      <c r="T28" s="109"/>
      <c r="U28" s="69"/>
      <c r="W28" s="69"/>
      <c r="X28" s="69"/>
      <c r="Y28" s="69"/>
      <c r="Z28" s="69"/>
      <c r="AA28" s="69"/>
      <c r="AB28" s="69"/>
      <c r="AC28" s="69"/>
      <c r="AD28" s="97"/>
      <c r="AE28" s="69"/>
    </row>
    <row r="29" spans="1:31">
      <c r="A29" s="38"/>
      <c r="B29" s="495" t="s">
        <v>182</v>
      </c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4"/>
      <c r="R29" s="69"/>
      <c r="U29" s="69"/>
      <c r="W29" s="69"/>
      <c r="X29" s="69"/>
      <c r="Y29" s="69"/>
      <c r="Z29" s="69"/>
      <c r="AA29" s="69"/>
      <c r="AB29" s="69"/>
      <c r="AC29" s="69"/>
      <c r="AD29" s="97"/>
      <c r="AE29" s="69"/>
    </row>
    <row r="30" spans="1:31">
      <c r="A30" s="38"/>
      <c r="B30" s="496" t="s">
        <v>416</v>
      </c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8"/>
      <c r="R30" s="69"/>
      <c r="U30" s="69"/>
      <c r="W30" s="69"/>
      <c r="X30" s="69"/>
      <c r="Y30" s="69"/>
      <c r="Z30" s="69"/>
      <c r="AA30" s="69"/>
      <c r="AB30" s="69"/>
      <c r="AC30" s="69"/>
      <c r="AD30" s="97"/>
      <c r="AE30" s="69"/>
    </row>
    <row r="31" spans="1:31">
      <c r="A31" s="38"/>
      <c r="B31" s="495" t="s">
        <v>417</v>
      </c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4"/>
      <c r="R31" s="69"/>
      <c r="T31" s="90"/>
      <c r="U31" s="69"/>
      <c r="W31" s="69"/>
      <c r="X31" s="69"/>
      <c r="Y31" s="69"/>
      <c r="Z31" s="69"/>
      <c r="AA31" s="69"/>
      <c r="AB31" s="69"/>
      <c r="AC31" s="69"/>
      <c r="AD31" s="97"/>
      <c r="AE31" s="69"/>
    </row>
    <row r="32" spans="1:31">
      <c r="A32" s="38"/>
      <c r="B32" s="495" t="s">
        <v>183</v>
      </c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  <c r="O32" s="494"/>
      <c r="R32" s="69"/>
      <c r="T32" s="90"/>
      <c r="U32" s="69"/>
      <c r="W32" s="69"/>
      <c r="X32" s="69"/>
      <c r="Y32" s="69"/>
      <c r="Z32" s="69"/>
      <c r="AA32" s="69"/>
      <c r="AB32" s="69"/>
      <c r="AC32" s="69"/>
      <c r="AD32" s="97"/>
      <c r="AE32" s="69"/>
    </row>
    <row r="33" spans="1:31" s="90" customFormat="1" ht="8.1" customHeight="1">
      <c r="A33" s="214"/>
      <c r="B33" s="484"/>
      <c r="C33" s="485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6"/>
      <c r="P33" s="93"/>
      <c r="Q33" s="93"/>
      <c r="R33" s="93"/>
      <c r="S33" s="92"/>
      <c r="U33" s="93"/>
      <c r="V33" s="93"/>
      <c r="W33" s="93"/>
      <c r="X33" s="93"/>
      <c r="Y33" s="93"/>
      <c r="Z33" s="93"/>
      <c r="AA33" s="93"/>
      <c r="AB33" s="93"/>
      <c r="AC33" s="93"/>
      <c r="AD33" s="96"/>
      <c r="AE33" s="93"/>
    </row>
    <row r="34" spans="1:31" s="90" customFormat="1" ht="18" customHeight="1">
      <c r="A34" s="214"/>
      <c r="B34" s="211" t="s">
        <v>126</v>
      </c>
      <c r="C34" s="212"/>
      <c r="D34" s="212"/>
      <c r="E34" s="212"/>
      <c r="F34" s="212"/>
      <c r="G34" s="471">
        <v>1</v>
      </c>
      <c r="H34" s="471"/>
      <c r="I34" s="126" t="s">
        <v>127</v>
      </c>
      <c r="J34" s="471" t="s">
        <v>128</v>
      </c>
      <c r="K34" s="471"/>
      <c r="L34" s="126" t="s">
        <v>160</v>
      </c>
      <c r="M34" s="471">
        <v>2019</v>
      </c>
      <c r="N34" s="471"/>
      <c r="O34" s="213"/>
      <c r="P34" s="93"/>
      <c r="Q34" s="93"/>
      <c r="R34" s="93"/>
      <c r="S34" s="93"/>
      <c r="U34" s="93"/>
      <c r="V34" s="93"/>
      <c r="W34" s="93"/>
      <c r="X34" s="93"/>
      <c r="Y34" s="93"/>
      <c r="Z34" s="93"/>
      <c r="AA34" s="93"/>
      <c r="AB34" s="93"/>
      <c r="AC34" s="93"/>
      <c r="AD34" s="96"/>
      <c r="AE34" s="93"/>
    </row>
    <row r="35" spans="1:31" s="90" customFormat="1" ht="15.95" hidden="1" customHeight="1">
      <c r="A35" s="214"/>
      <c r="B35" s="211" t="s">
        <v>126</v>
      </c>
      <c r="C35" s="212"/>
      <c r="D35" s="212"/>
      <c r="E35" s="212"/>
      <c r="F35" s="212"/>
      <c r="G35" s="503">
        <v>31</v>
      </c>
      <c r="H35" s="503"/>
      <c r="I35" s="212" t="s">
        <v>127</v>
      </c>
      <c r="J35" s="503" t="s">
        <v>129</v>
      </c>
      <c r="K35" s="503"/>
      <c r="L35" s="212" t="s">
        <v>160</v>
      </c>
      <c r="M35" s="503">
        <v>2018</v>
      </c>
      <c r="N35" s="503"/>
      <c r="O35" s="21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6"/>
    </row>
    <row r="36" spans="1:31" s="90" customFormat="1" ht="18" customHeight="1">
      <c r="A36" s="214"/>
      <c r="B36" s="211"/>
      <c r="C36" s="212"/>
      <c r="D36" s="212"/>
      <c r="E36" s="212"/>
      <c r="F36" s="212"/>
      <c r="G36" s="212"/>
      <c r="H36" s="215" t="str">
        <f>IF(ISNUMBER(G34),IF($G$34&gt;$R$37,"Error",""),"")</f>
        <v/>
      </c>
      <c r="I36" s="212"/>
      <c r="J36" s="216"/>
      <c r="K36" s="216"/>
      <c r="L36" s="212"/>
      <c r="M36" s="217" t="s">
        <v>184</v>
      </c>
      <c r="N36" s="212"/>
      <c r="O36" s="213"/>
      <c r="P36" s="93"/>
      <c r="Q36" s="93"/>
      <c r="R36" s="93" t="s">
        <v>323</v>
      </c>
      <c r="V36" s="93"/>
      <c r="W36" s="93"/>
      <c r="X36" s="93"/>
      <c r="Y36" s="93"/>
      <c r="Z36" s="93"/>
      <c r="AA36" s="93"/>
      <c r="AB36" s="93"/>
      <c r="AC36" s="93"/>
      <c r="AD36" s="96"/>
    </row>
    <row r="37" spans="1:31" s="90" customFormat="1" ht="14.25" customHeight="1">
      <c r="A37" s="214"/>
      <c r="B37" s="504"/>
      <c r="C37" s="505"/>
      <c r="D37" s="505"/>
      <c r="E37" s="505"/>
      <c r="F37" s="505"/>
      <c r="G37" s="505"/>
      <c r="H37" s="505"/>
      <c r="I37" s="212"/>
      <c r="J37" s="508" t="str">
        <f>IF(E18&lt;&gt;"",NI_Ing,"")</f>
        <v/>
      </c>
      <c r="K37" s="508"/>
      <c r="L37" s="508"/>
      <c r="M37" s="508"/>
      <c r="N37" s="508"/>
      <c r="O37" s="509"/>
      <c r="P37" s="93"/>
      <c r="Q37" s="93"/>
      <c r="R37" s="93">
        <f>VLOOKUP(J34,ddmmchk,2)</f>
        <v>31</v>
      </c>
      <c r="V37" s="93"/>
      <c r="W37" s="93"/>
      <c r="X37" s="93"/>
      <c r="Y37" s="93"/>
      <c r="Z37" s="93"/>
      <c r="AA37" s="93"/>
      <c r="AB37" s="93"/>
      <c r="AC37" s="93"/>
      <c r="AD37" s="93"/>
    </row>
    <row r="38" spans="1:31" s="90" customFormat="1" ht="14.25" customHeight="1">
      <c r="A38" s="214"/>
      <c r="B38" s="504"/>
      <c r="C38" s="505"/>
      <c r="D38" s="505"/>
      <c r="E38" s="505"/>
      <c r="F38" s="505"/>
      <c r="G38" s="505"/>
      <c r="H38" s="505"/>
      <c r="I38" s="212"/>
      <c r="J38" s="508"/>
      <c r="K38" s="508"/>
      <c r="L38" s="508"/>
      <c r="M38" s="508"/>
      <c r="N38" s="508"/>
      <c r="O38" s="509"/>
      <c r="P38" s="93"/>
      <c r="Q38" s="93"/>
      <c r="V38" s="110"/>
      <c r="W38" s="110"/>
      <c r="X38" s="110"/>
      <c r="Y38" s="93"/>
      <c r="Z38" s="93"/>
      <c r="AA38" s="93"/>
      <c r="AB38" s="93"/>
      <c r="AC38" s="93"/>
      <c r="AD38" s="93"/>
    </row>
    <row r="39" spans="1:31" s="90" customFormat="1" ht="14.25" customHeight="1">
      <c r="A39" s="214"/>
      <c r="B39" s="506"/>
      <c r="C39" s="507"/>
      <c r="D39" s="507"/>
      <c r="E39" s="507"/>
      <c r="F39" s="507"/>
      <c r="G39" s="507"/>
      <c r="H39" s="507"/>
      <c r="I39" s="212"/>
      <c r="J39" s="510"/>
      <c r="K39" s="510"/>
      <c r="L39" s="510"/>
      <c r="M39" s="510"/>
      <c r="N39" s="510"/>
      <c r="O39" s="511"/>
      <c r="P39" s="93"/>
      <c r="Q39" s="93"/>
      <c r="R39" s="93"/>
      <c r="V39" s="111"/>
      <c r="W39" s="111"/>
      <c r="X39" s="93"/>
      <c r="Y39" s="93"/>
      <c r="Z39" s="93"/>
      <c r="AA39" s="93"/>
      <c r="AB39" s="93"/>
      <c r="AC39" s="93"/>
      <c r="AD39" s="93"/>
    </row>
    <row r="40" spans="1:31" s="90" customFormat="1" ht="14.25">
      <c r="A40" s="214"/>
      <c r="B40" s="211" t="s">
        <v>185</v>
      </c>
      <c r="C40" s="212"/>
      <c r="D40" s="212"/>
      <c r="E40" s="212"/>
      <c r="F40" s="212"/>
      <c r="G40" s="212"/>
      <c r="H40" s="91" t="s">
        <v>186</v>
      </c>
      <c r="I40" s="91"/>
      <c r="J40" s="512" t="s">
        <v>161</v>
      </c>
      <c r="K40" s="512"/>
      <c r="L40" s="512"/>
      <c r="M40" s="512"/>
      <c r="N40" s="512"/>
      <c r="O40" s="513"/>
      <c r="P40" s="93"/>
      <c r="Q40" s="93"/>
      <c r="R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1" s="90" customFormat="1" ht="14.25">
      <c r="A41" s="214"/>
      <c r="B41" s="211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3"/>
      <c r="P41" s="93"/>
      <c r="Q41" s="93"/>
      <c r="R41" s="93"/>
      <c r="V41" s="93"/>
      <c r="W41" s="93"/>
      <c r="X41" s="93"/>
      <c r="Y41" s="93"/>
      <c r="Z41" s="93"/>
      <c r="AA41" s="93"/>
      <c r="AB41" s="93"/>
      <c r="AC41" s="93"/>
    </row>
    <row r="42" spans="1:31" s="90" customFormat="1" ht="3.75" customHeight="1">
      <c r="A42" s="214"/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31" s="90" customFormat="1" ht="14.25">
      <c r="A43" s="214"/>
      <c r="B43" s="211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</row>
    <row r="44" spans="1:31" s="90" customFormat="1" ht="14.25">
      <c r="A44" s="214"/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</row>
    <row r="45" spans="1:31" s="90" customFormat="1">
      <c r="A45" s="214"/>
      <c r="B45" s="210" t="s">
        <v>124</v>
      </c>
      <c r="C45" s="514" t="str">
        <f>IF(E9&lt;&gt;"",E9,"")</f>
        <v/>
      </c>
      <c r="D45" s="514"/>
      <c r="E45" s="514"/>
      <c r="F45" s="514"/>
      <c r="G45" s="514"/>
      <c r="H45" s="514"/>
      <c r="I45" s="515" t="s">
        <v>162</v>
      </c>
      <c r="J45" s="515"/>
      <c r="K45" s="515"/>
      <c r="L45" s="515"/>
      <c r="M45" s="515"/>
      <c r="N45" s="515"/>
      <c r="O45" s="516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</row>
    <row r="46" spans="1:31" s="90" customFormat="1" ht="14.25">
      <c r="A46" s="214"/>
      <c r="B46" s="500" t="s">
        <v>163</v>
      </c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2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</row>
    <row r="47" spans="1:31" s="90" customFormat="1" ht="14.25">
      <c r="A47" s="214"/>
      <c r="B47" s="517" t="s">
        <v>173</v>
      </c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6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</row>
    <row r="48" spans="1:31" s="90" customFormat="1">
      <c r="A48" s="214"/>
      <c r="B48" s="517"/>
      <c r="C48" s="515"/>
      <c r="D48" s="515"/>
      <c r="E48" s="154"/>
      <c r="F48" s="154"/>
      <c r="G48" s="154"/>
      <c r="H48" s="154"/>
      <c r="I48" s="154"/>
      <c r="J48" s="212"/>
      <c r="K48" s="212"/>
      <c r="L48" s="212"/>
      <c r="M48" s="212"/>
      <c r="N48" s="212"/>
      <c r="O48" s="21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</row>
    <row r="49" spans="1:29" s="90" customFormat="1" ht="14.25" customHeight="1">
      <c r="A49" s="214"/>
      <c r="B49" s="504"/>
      <c r="C49" s="505"/>
      <c r="D49" s="505"/>
      <c r="E49" s="505"/>
      <c r="F49" s="505"/>
      <c r="G49" s="505"/>
      <c r="H49" s="505"/>
      <c r="I49" s="212"/>
      <c r="J49" s="508" t="str">
        <f>IF(E9&lt;&gt;"",NI_Arq,"")</f>
        <v/>
      </c>
      <c r="K49" s="508"/>
      <c r="L49" s="508"/>
      <c r="M49" s="508"/>
      <c r="N49" s="508"/>
      <c r="O49" s="509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</row>
    <row r="50" spans="1:29" s="90" customFormat="1" ht="14.25" customHeight="1">
      <c r="A50" s="214"/>
      <c r="B50" s="504"/>
      <c r="C50" s="505"/>
      <c r="D50" s="505"/>
      <c r="E50" s="505"/>
      <c r="F50" s="505"/>
      <c r="G50" s="505"/>
      <c r="H50" s="505"/>
      <c r="I50" s="212"/>
      <c r="J50" s="508"/>
      <c r="K50" s="508"/>
      <c r="L50" s="508"/>
      <c r="M50" s="508"/>
      <c r="N50" s="508"/>
      <c r="O50" s="509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</row>
    <row r="51" spans="1:29" s="90" customFormat="1" ht="18" customHeight="1">
      <c r="A51" s="214"/>
      <c r="B51" s="506"/>
      <c r="C51" s="507"/>
      <c r="D51" s="507"/>
      <c r="E51" s="507"/>
      <c r="F51" s="507"/>
      <c r="G51" s="507"/>
      <c r="H51" s="507"/>
      <c r="I51" s="212"/>
      <c r="J51" s="510"/>
      <c r="K51" s="510"/>
      <c r="L51" s="510"/>
      <c r="M51" s="510"/>
      <c r="N51" s="510"/>
      <c r="O51" s="511"/>
      <c r="P51" s="93"/>
      <c r="Q51" s="93"/>
      <c r="R51" s="93"/>
      <c r="S51" s="93"/>
      <c r="T51" s="69"/>
      <c r="U51" s="93"/>
      <c r="V51" s="93"/>
      <c r="W51" s="93"/>
      <c r="X51" s="93"/>
      <c r="Y51" s="93"/>
      <c r="Z51" s="93"/>
      <c r="AA51" s="93"/>
      <c r="AB51" s="93"/>
      <c r="AC51" s="93"/>
    </row>
    <row r="52" spans="1:29" s="90" customFormat="1" ht="18" customHeight="1">
      <c r="A52" s="214"/>
      <c r="B52" s="218" t="s">
        <v>187</v>
      </c>
      <c r="C52" s="219"/>
      <c r="D52" s="219"/>
      <c r="E52" s="219"/>
      <c r="F52" s="219"/>
      <c r="G52" s="219"/>
      <c r="H52" s="112" t="s">
        <v>186</v>
      </c>
      <c r="I52" s="112"/>
      <c r="J52" s="518" t="s">
        <v>161</v>
      </c>
      <c r="K52" s="518"/>
      <c r="L52" s="518"/>
      <c r="M52" s="518"/>
      <c r="N52" s="518"/>
      <c r="O52" s="519"/>
      <c r="P52" s="93"/>
      <c r="Q52" s="93"/>
      <c r="R52" s="93"/>
      <c r="S52" s="93"/>
      <c r="T52" s="69"/>
      <c r="U52" s="93"/>
      <c r="V52" s="93"/>
      <c r="W52" s="93"/>
      <c r="X52" s="93"/>
      <c r="Y52" s="93"/>
      <c r="Z52" s="93"/>
      <c r="AA52" s="93"/>
      <c r="AB52" s="93"/>
      <c r="AC52" s="93"/>
    </row>
    <row r="53" spans="1:29" s="90" customFormat="1" ht="15.95" hidden="1" customHeight="1">
      <c r="A53" s="214"/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2"/>
      <c r="P53" s="93"/>
      <c r="Q53" s="93"/>
      <c r="R53" s="93"/>
      <c r="S53" s="93"/>
      <c r="T53" s="69"/>
      <c r="U53" s="93"/>
      <c r="V53" s="93"/>
      <c r="W53" s="93"/>
      <c r="X53" s="93"/>
      <c r="Y53" s="93"/>
      <c r="Z53" s="93"/>
      <c r="AA53" s="93"/>
      <c r="AB53" s="93"/>
      <c r="AC53" s="93"/>
    </row>
    <row r="54" spans="1:29" s="90" customFormat="1" ht="18" customHeight="1">
      <c r="A54" s="21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93"/>
      <c r="Q54" s="93"/>
      <c r="R54" s="93"/>
      <c r="S54" s="93"/>
      <c r="T54" s="69"/>
      <c r="U54" s="93"/>
      <c r="V54" s="93"/>
      <c r="W54" s="93"/>
      <c r="X54" s="93"/>
      <c r="Y54" s="93"/>
      <c r="Z54" s="93"/>
      <c r="AA54" s="93"/>
      <c r="AB54" s="93"/>
      <c r="AC54" s="93"/>
    </row>
    <row r="55" spans="1:29" s="90" customFormat="1">
      <c r="A55" s="214"/>
      <c r="B55" s="38"/>
      <c r="C55" s="38"/>
      <c r="D55" s="38"/>
      <c r="E55" s="38"/>
      <c r="F55" s="38"/>
      <c r="G55" s="38"/>
      <c r="H55" s="38"/>
      <c r="I55" s="456" t="s">
        <v>188</v>
      </c>
      <c r="J55" s="456"/>
      <c r="K55" s="456"/>
      <c r="L55" s="456"/>
      <c r="M55" s="113" t="s">
        <v>189</v>
      </c>
      <c r="N55" s="38"/>
      <c r="O55" s="38"/>
      <c r="P55" s="93"/>
      <c r="Q55" s="93"/>
      <c r="R55" s="93"/>
      <c r="S55" s="93"/>
      <c r="T55" s="69"/>
      <c r="U55" s="93"/>
      <c r="V55" s="93"/>
      <c r="W55" s="93"/>
      <c r="X55" s="93"/>
      <c r="Y55" s="93"/>
      <c r="Z55" s="93"/>
      <c r="AA55" s="93"/>
      <c r="AB55" s="93"/>
      <c r="AC55" s="93"/>
    </row>
    <row r="56" spans="1:29" hidden="1">
      <c r="R56" s="69"/>
      <c r="S56" s="69"/>
      <c r="T56" s="69"/>
      <c r="U56" s="69"/>
    </row>
    <row r="57" spans="1:29" hidden="1">
      <c r="R57" s="69"/>
      <c r="S57" s="69"/>
      <c r="U57" s="69"/>
    </row>
    <row r="58" spans="1:29" hidden="1">
      <c r="R58" s="69"/>
      <c r="S58" s="69"/>
      <c r="U58" s="69"/>
    </row>
    <row r="59" spans="1:29" hidden="1">
      <c r="R59" s="69"/>
      <c r="S59" s="69"/>
      <c r="U59" s="69"/>
    </row>
    <row r="60" spans="1:29" hidden="1">
      <c r="R60" s="69"/>
      <c r="S60" s="69"/>
      <c r="U60" s="69"/>
    </row>
    <row r="61" spans="1:29" hidden="1">
      <c r="R61" s="69"/>
      <c r="S61" s="69"/>
      <c r="U61" s="69"/>
    </row>
  </sheetData>
  <sheetProtection algorithmName="SHA-512" hashValue="+hyBUaERRE3TTcW7V1fhdl4hYMsQtEVFe07+swwH50bbmS0tr8OmPCsBN/IQ25gr//bI5bIAHbS+uZ28I6W/ow==" saltValue="SV5SGcFgnFL5M0cWJDA5bQ==" spinCount="100000" sheet="1" objects="1" scenarios="1" selectLockedCells="1"/>
  <protectedRanges>
    <protectedRange sqref="E22 N22 E24 E26 G34 J34 M34" name="Range3"/>
    <protectedRange sqref="J15 N15 E16 E18 N18" name="Range2"/>
    <protectedRange sqref="E8:E9 N9 E11 E13" name="Range1"/>
  </protectedRanges>
  <mergeCells count="59">
    <mergeCell ref="I55:L55"/>
    <mergeCell ref="B47:O47"/>
    <mergeCell ref="B48:D48"/>
    <mergeCell ref="B49:H51"/>
    <mergeCell ref="J49:O51"/>
    <mergeCell ref="J52:O52"/>
    <mergeCell ref="B46:O46"/>
    <mergeCell ref="G34:H34"/>
    <mergeCell ref="J34:K34"/>
    <mergeCell ref="M34:N34"/>
    <mergeCell ref="G35:H35"/>
    <mergeCell ref="J35:K35"/>
    <mergeCell ref="M35:N35"/>
    <mergeCell ref="B37:H39"/>
    <mergeCell ref="J37:O39"/>
    <mergeCell ref="J40:O40"/>
    <mergeCell ref="C45:H45"/>
    <mergeCell ref="I45:O45"/>
    <mergeCell ref="B33:O33"/>
    <mergeCell ref="B22:D22"/>
    <mergeCell ref="E22:F22"/>
    <mergeCell ref="J22:M22"/>
    <mergeCell ref="N22:O22"/>
    <mergeCell ref="E24:F24"/>
    <mergeCell ref="E26:O26"/>
    <mergeCell ref="H24:K24"/>
    <mergeCell ref="M24:O24"/>
    <mergeCell ref="C28:H28"/>
    <mergeCell ref="I28:O28"/>
    <mergeCell ref="B29:O29"/>
    <mergeCell ref="B30:O30"/>
    <mergeCell ref="B32:O32"/>
    <mergeCell ref="B31:O31"/>
    <mergeCell ref="E18:K18"/>
    <mergeCell ref="L18:M18"/>
    <mergeCell ref="N18:O18"/>
    <mergeCell ref="E20:K20"/>
    <mergeCell ref="L20:M20"/>
    <mergeCell ref="N20:O20"/>
    <mergeCell ref="E16:O16"/>
    <mergeCell ref="B10:D10"/>
    <mergeCell ref="E10:O10"/>
    <mergeCell ref="E11:O11"/>
    <mergeCell ref="E12:I12"/>
    <mergeCell ref="J12:M12"/>
    <mergeCell ref="N12:O12"/>
    <mergeCell ref="E13:O13"/>
    <mergeCell ref="N15:O15"/>
    <mergeCell ref="E15:G15"/>
    <mergeCell ref="J15:L15"/>
    <mergeCell ref="B9:D9"/>
    <mergeCell ref="E9:K9"/>
    <mergeCell ref="L9:M9"/>
    <mergeCell ref="N9:O9"/>
    <mergeCell ref="H4:K5"/>
    <mergeCell ref="L4:O5"/>
    <mergeCell ref="B6:O6"/>
    <mergeCell ref="B8:D8"/>
    <mergeCell ref="E8:O8"/>
  </mergeCells>
  <dataValidations count="15">
    <dataValidation type="list" allowBlank="1" showInputMessage="1" showErrorMessage="1" sqref="G35:H35">
      <formula1>$S$1:$S$33</formula1>
    </dataValidation>
    <dataValidation type="list" allowBlank="1" showInputMessage="1" showErrorMessage="1" sqref="N20:O20">
      <formula1>rango_pcnt</formula1>
    </dataValidation>
    <dataValidation type="list" showErrorMessage="1" prompt="Seleccione el tipo de edificación de esta lista" sqref="E20:K20">
      <formula1>t_lista_larga</formula1>
    </dataValidation>
    <dataValidation type="list" allowBlank="1" showInputMessage="1" showErrorMessage="1" sqref="E26:O26">
      <formula1>metodo</formula1>
    </dataValidation>
    <dataValidation type="list" allowBlank="1" showInputMessage="1" showErrorMessage="1" sqref="M55">
      <formula1>sino</formula1>
    </dataValidation>
    <dataValidation type="list" allowBlank="1" showInputMessage="1" showErrorMessage="1" sqref="G34:H34">
      <formula1>diasmes</formula1>
    </dataValidation>
    <dataValidation type="list" allowBlank="1" showInputMessage="1" showErrorMessage="1" sqref="J34:K34">
      <formula1>meses</formula1>
    </dataValidation>
    <dataValidation type="list" allowBlank="1" showInputMessage="1" showErrorMessage="1" sqref="M34:N34">
      <formula1>años</formula1>
    </dataValidation>
    <dataValidation type="whole" allowBlank="1" showInputMessage="1" showErrorMessage="1" error="Vale de 1 a 99" sqref="E22:F22 N22:O22">
      <formula1>1</formula1>
      <formula2>99</formula2>
    </dataValidation>
    <dataValidation type="list" allowBlank="1" showInputMessage="1" showErrorMessage="1" sqref="M35:N35">
      <formula1>$U$1:$U$8</formula1>
    </dataValidation>
    <dataValidation type="list" allowBlank="1" showInputMessage="1" showErrorMessage="1" sqref="J35:K35">
      <formula1>$T$1:$T$12</formula1>
    </dataValidation>
    <dataValidation type="list" allowBlank="1" showInputMessage="1" showErrorMessage="1" sqref="K36">
      <formula1>$T$1:$T$10</formula1>
    </dataValidation>
    <dataValidation type="list" allowBlank="1" showInputMessage="1" showErrorMessage="1" sqref="H15">
      <formula1>UTM_placa</formula1>
    </dataValidation>
    <dataValidation type="decimal" allowBlank="1" showInputMessage="1" showErrorMessage="1" errorTitle="Latitud" error="Entre 7 y 9.6 (grados norte)" sqref="J15">
      <formula1>100000</formula1>
      <formula2>2000000</formula2>
    </dataValidation>
    <dataValidation type="decimal" allowBlank="1" showInputMessage="1" showErrorMessage="1" errorTitle="Longitud" error="Entre -83 y -77 (oeste)" sqref="N15:O15">
      <formula1>100000</formula1>
      <formula2>2000000</formula2>
    </dataValidation>
  </dataValidations>
  <pageMargins left="0.25" right="0.25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11382E9-9528-419C-8302-3D321030F75D}">
            <xm:f>$M$34&gt;'\Documentos\bak\[0.b.RES. No AA.v.0.982.unlocked.xlsx]Data'!#REF!</xm:f>
            <x14:dxf>
              <font>
                <strike val="0"/>
                <color rgb="FFC00000"/>
              </font>
            </x14:dxf>
          </x14:cfRule>
          <xm:sqref>M36</xm:sqref>
        </x14:conditionalFormatting>
        <x14:conditionalFormatting xmlns:xm="http://schemas.microsoft.com/office/excel/2006/main">
          <x14:cfRule type="cellIs" priority="1" operator="notEqual" id="{A3D31A03-BE71-4C13-BE97-F13951ED7A81}">
            <xm:f>Data!$J$20</xm:f>
            <x14:dxf>
              <font>
                <color theme="0"/>
              </font>
            </x14:dxf>
          </x14:cfRule>
          <xm:sqref>M34:N34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C00000"/>
  </sheetPr>
  <dimension ref="B1:AI47"/>
  <sheetViews>
    <sheetView showGridLines="0" showRowColHeaders="0" zoomScaleNormal="100" zoomScalePageLayoutView="198" workbookViewId="0">
      <selection activeCell="K12" sqref="K12"/>
    </sheetView>
  </sheetViews>
  <sheetFormatPr baseColWidth="10" defaultColWidth="10.33203125" defaultRowHeight="15"/>
  <cols>
    <col min="1" max="1" width="3" style="392" customWidth="1"/>
    <col min="2" max="2" width="2.6640625" style="392" customWidth="1"/>
    <col min="3" max="3" width="23.44140625" style="392" customWidth="1"/>
    <col min="4" max="4" width="0.5546875" style="392" customWidth="1"/>
    <col min="5" max="5" width="10.77734375" style="392" customWidth="1"/>
    <col min="6" max="6" width="0.6640625" style="392" customWidth="1"/>
    <col min="7" max="7" width="15.109375" style="392" customWidth="1"/>
    <col min="8" max="8" width="0.6640625" style="392" customWidth="1"/>
    <col min="9" max="9" width="7.33203125" style="392" customWidth="1"/>
    <col min="10" max="10" width="0.6640625" style="392" customWidth="1"/>
    <col min="11" max="11" width="10.77734375" style="392" customWidth="1"/>
    <col min="12" max="12" width="0.6640625" style="392" customWidth="1"/>
    <col min="13" max="13" width="10.77734375" style="392" customWidth="1"/>
    <col min="14" max="14" width="6.6640625" style="392" customWidth="1"/>
    <col min="15" max="15" width="10" style="127" hidden="1" customWidth="1"/>
    <col min="16" max="16" width="3" style="127" hidden="1" customWidth="1"/>
    <col min="17" max="17" width="8.44140625" style="127" hidden="1" customWidth="1"/>
    <col min="18" max="18" width="5.33203125" style="127" hidden="1" customWidth="1"/>
    <col min="19" max="20" width="8.44140625" style="127" hidden="1" customWidth="1"/>
    <col min="21" max="21" width="4.5546875" style="127" hidden="1" customWidth="1"/>
    <col min="22" max="23" width="8.44140625" style="127" hidden="1" customWidth="1"/>
    <col min="24" max="24" width="9" style="127" hidden="1" customWidth="1"/>
    <col min="25" max="26" width="8.44140625" style="397" hidden="1" customWidth="1"/>
    <col min="27" max="27" width="8.44140625" style="398" hidden="1" customWidth="1"/>
    <col min="28" max="35" width="8.44140625" style="392" hidden="1" customWidth="1"/>
    <col min="36" max="49" width="8.44140625" style="392" customWidth="1"/>
    <col min="50" max="16384" width="10.33203125" style="392"/>
  </cols>
  <sheetData>
    <row r="1" spans="2:24" ht="26.1" customHeight="1">
      <c r="B1" s="393" t="s">
        <v>429</v>
      </c>
      <c r="C1" s="394"/>
      <c r="D1" s="394"/>
      <c r="E1" s="394"/>
      <c r="F1" s="394"/>
      <c r="G1" s="395"/>
      <c r="O1" s="396"/>
      <c r="P1" s="396"/>
      <c r="Q1" s="396"/>
      <c r="R1" s="396"/>
      <c r="S1" s="396"/>
      <c r="T1" s="396"/>
      <c r="U1" s="396"/>
      <c r="V1" s="396"/>
      <c r="W1" s="396"/>
      <c r="X1" s="396"/>
    </row>
    <row r="2" spans="2:24">
      <c r="B2" s="399" t="str">
        <f>"Para la evaluación energética: " &amp; tipo_eval</f>
        <v>Para la evaluación energética: Camino de Cumplimiento</v>
      </c>
      <c r="O2" s="396" t="str">
        <f>IF($E11&gt;0,"TRUE","FALSE")</f>
        <v>FALSE</v>
      </c>
      <c r="P2" s="396"/>
      <c r="Q2" s="396"/>
      <c r="R2" s="396"/>
      <c r="S2" s="396"/>
      <c r="T2" s="396"/>
      <c r="U2" s="396"/>
      <c r="V2" s="396"/>
      <c r="W2" s="396"/>
      <c r="X2" s="396"/>
    </row>
    <row r="3" spans="2:24">
      <c r="B3" s="400"/>
      <c r="O3" s="396"/>
      <c r="P3" s="396"/>
      <c r="Q3" s="396"/>
      <c r="R3" s="396"/>
      <c r="S3" s="396"/>
      <c r="T3" s="396"/>
      <c r="U3" s="396"/>
      <c r="V3" s="396"/>
      <c r="W3" s="396"/>
      <c r="X3" s="396"/>
    </row>
    <row r="4" spans="2:24" ht="11.1" customHeight="1">
      <c r="O4" s="396"/>
      <c r="P4" s="396"/>
      <c r="Q4" s="396"/>
      <c r="R4" s="396"/>
      <c r="S4" s="396"/>
      <c r="T4" s="396"/>
      <c r="U4" s="396"/>
      <c r="V4" s="396"/>
      <c r="W4" s="396"/>
      <c r="X4" s="396"/>
    </row>
    <row r="5" spans="2:24">
      <c r="O5" s="396"/>
      <c r="P5" s="396"/>
      <c r="Q5" s="396"/>
      <c r="R5" s="396"/>
      <c r="S5" s="396"/>
      <c r="T5" s="396"/>
      <c r="U5" s="396"/>
      <c r="V5" s="396"/>
      <c r="W5" s="396"/>
      <c r="X5" s="396"/>
    </row>
    <row r="6" spans="2:24" ht="15.75">
      <c r="C6" s="401" t="s">
        <v>77</v>
      </c>
      <c r="K6" s="402" t="s">
        <v>68</v>
      </c>
      <c r="L6" s="403"/>
      <c r="M6" s="404">
        <v>0.13</v>
      </c>
      <c r="O6" s="396"/>
      <c r="P6" s="396"/>
      <c r="Q6" s="396"/>
      <c r="R6" s="396"/>
      <c r="S6" s="396"/>
      <c r="T6" s="396"/>
      <c r="U6" s="396"/>
      <c r="V6" s="396"/>
      <c r="W6" s="396"/>
      <c r="X6" s="396"/>
    </row>
    <row r="7" spans="2:24" ht="15.75">
      <c r="C7" s="521"/>
      <c r="D7" s="521"/>
      <c r="E7" s="521"/>
      <c r="F7" s="521"/>
      <c r="G7" s="521"/>
      <c r="H7" s="521"/>
      <c r="I7" s="521"/>
      <c r="K7" s="402" t="s">
        <v>69</v>
      </c>
      <c r="L7" s="403"/>
      <c r="M7" s="404">
        <v>0.04</v>
      </c>
      <c r="O7" s="396"/>
      <c r="P7" s="396"/>
      <c r="Q7" s="396"/>
      <c r="R7" s="396"/>
      <c r="S7" s="396"/>
      <c r="T7" s="396"/>
      <c r="U7" s="396"/>
      <c r="V7" s="396"/>
      <c r="W7" s="396"/>
      <c r="X7" s="396"/>
    </row>
    <row r="8" spans="2:24">
      <c r="O8" s="396"/>
      <c r="P8" s="396"/>
      <c r="Q8" s="396"/>
      <c r="R8" s="396"/>
      <c r="S8" s="396"/>
      <c r="T8" s="396"/>
      <c r="U8" s="396"/>
      <c r="V8" s="396"/>
      <c r="W8" s="396"/>
      <c r="X8" s="396"/>
    </row>
    <row r="9" spans="2:24" ht="15.75">
      <c r="E9" s="405" t="s">
        <v>71</v>
      </c>
      <c r="J9" s="406"/>
      <c r="K9" s="405" t="s">
        <v>71</v>
      </c>
      <c r="M9" s="406" t="s">
        <v>70</v>
      </c>
      <c r="O9" s="396" t="s">
        <v>82</v>
      </c>
      <c r="P9" s="396"/>
      <c r="Q9" s="396"/>
      <c r="R9" s="396"/>
      <c r="S9" s="396"/>
      <c r="T9" s="396"/>
      <c r="U9" s="396"/>
      <c r="V9" s="396"/>
      <c r="W9" s="396"/>
      <c r="X9" s="396"/>
    </row>
    <row r="10" spans="2:24">
      <c r="C10" s="401" t="s">
        <v>74</v>
      </c>
      <c r="D10" s="407"/>
      <c r="E10" s="408" t="s">
        <v>72</v>
      </c>
      <c r="G10" s="401" t="s">
        <v>75</v>
      </c>
      <c r="K10" s="408" t="s">
        <v>72</v>
      </c>
      <c r="M10" s="409" t="s">
        <v>28</v>
      </c>
      <c r="O10" s="410" t="s">
        <v>74</v>
      </c>
      <c r="P10" s="396"/>
      <c r="Q10" s="410" t="s">
        <v>75</v>
      </c>
      <c r="R10" s="396"/>
      <c r="S10" s="410" t="s">
        <v>74</v>
      </c>
      <c r="T10" s="410" t="s">
        <v>75</v>
      </c>
      <c r="U10" s="396"/>
      <c r="V10" s="410" t="s">
        <v>74</v>
      </c>
      <c r="W10" s="410" t="s">
        <v>75</v>
      </c>
      <c r="X10" s="396"/>
    </row>
    <row r="11" spans="2:24" ht="18">
      <c r="B11" s="411">
        <v>1</v>
      </c>
      <c r="C11" s="25"/>
      <c r="E11" s="87"/>
      <c r="G11" s="521"/>
      <c r="H11" s="521"/>
      <c r="I11" s="521"/>
      <c r="K11" s="87"/>
      <c r="M11" s="26"/>
      <c r="O11" s="412">
        <f>IF(E11&gt;0,$M11/E11,0)</f>
        <v>0</v>
      </c>
      <c r="P11" s="413"/>
      <c r="Q11" s="412">
        <f>IF(K11&gt;0,$M11/K11,O11)</f>
        <v>0</v>
      </c>
      <c r="R11" s="396"/>
      <c r="S11" s="412">
        <f>E11</f>
        <v>0</v>
      </c>
      <c r="T11" s="412">
        <f>IF(K11&gt;0,K11,$S11)</f>
        <v>0</v>
      </c>
      <c r="U11" s="396"/>
      <c r="V11" s="396">
        <f>O19</f>
        <v>1</v>
      </c>
      <c r="W11" s="396">
        <f>Q19</f>
        <v>0</v>
      </c>
      <c r="X11" s="414">
        <f>IF(S11&lt;&gt;0,M11/SUMPRODUCT(V11:W11,S11:T11),0)</f>
        <v>0</v>
      </c>
    </row>
    <row r="12" spans="2:24" ht="18">
      <c r="B12" s="411">
        <v>2</v>
      </c>
      <c r="C12" s="27"/>
      <c r="E12" s="87"/>
      <c r="G12" s="520"/>
      <c r="H12" s="520"/>
      <c r="I12" s="520"/>
      <c r="K12" s="87"/>
      <c r="M12" s="26"/>
      <c r="O12" s="412">
        <f>IF(E12&gt;0,$M12/E12,0)</f>
        <v>0</v>
      </c>
      <c r="P12" s="412"/>
      <c r="Q12" s="412">
        <f>IF(K12&gt;0,$M12/K12,O12)</f>
        <v>0</v>
      </c>
      <c r="R12" s="396"/>
      <c r="S12" s="412">
        <f t="shared" ref="S12:S15" si="0">E12</f>
        <v>0</v>
      </c>
      <c r="T12" s="412">
        <f>IF(K12&gt;0,K12,$S12)</f>
        <v>0</v>
      </c>
      <c r="U12" s="396"/>
      <c r="V12" s="396">
        <f t="shared" ref="V12:W15" si="1">V11</f>
        <v>1</v>
      </c>
      <c r="W12" s="396">
        <f t="shared" si="1"/>
        <v>0</v>
      </c>
      <c r="X12" s="414">
        <f t="shared" ref="X12:X15" si="2">IF(S12&lt;&gt;0,M12/SUMPRODUCT(V12:W12,S12:T12),0)</f>
        <v>0</v>
      </c>
    </row>
    <row r="13" spans="2:24" ht="18">
      <c r="B13" s="411">
        <v>3</v>
      </c>
      <c r="C13" s="27"/>
      <c r="E13" s="87"/>
      <c r="G13" s="520"/>
      <c r="H13" s="520"/>
      <c r="I13" s="520"/>
      <c r="K13" s="87"/>
      <c r="M13" s="26"/>
      <c r="O13" s="412">
        <f>IF(E13&gt;0,$M13/E13,0)</f>
        <v>0</v>
      </c>
      <c r="P13" s="412"/>
      <c r="Q13" s="412">
        <f>IF(K13&gt;0,$M13/K13,O13)</f>
        <v>0</v>
      </c>
      <c r="R13" s="396"/>
      <c r="S13" s="412">
        <f t="shared" si="0"/>
        <v>0</v>
      </c>
      <c r="T13" s="412">
        <f>IF(K13&gt;0,K13,$S13)</f>
        <v>0</v>
      </c>
      <c r="U13" s="396"/>
      <c r="V13" s="396">
        <f t="shared" si="1"/>
        <v>1</v>
      </c>
      <c r="W13" s="396">
        <f t="shared" si="1"/>
        <v>0</v>
      </c>
      <c r="X13" s="414">
        <f t="shared" si="2"/>
        <v>0</v>
      </c>
    </row>
    <row r="14" spans="2:24" ht="18">
      <c r="B14" s="411">
        <v>4</v>
      </c>
      <c r="C14" s="27"/>
      <c r="E14" s="87"/>
      <c r="G14" s="520"/>
      <c r="H14" s="520"/>
      <c r="I14" s="520"/>
      <c r="J14" s="415"/>
      <c r="K14" s="87"/>
      <c r="M14" s="26"/>
      <c r="O14" s="412">
        <f>IF(E14&gt;0,$M14/E14,0)</f>
        <v>0</v>
      </c>
      <c r="P14" s="412"/>
      <c r="Q14" s="412">
        <f>IF(K14&gt;0,$M14/K14,O14)</f>
        <v>0</v>
      </c>
      <c r="R14" s="396"/>
      <c r="S14" s="412">
        <f t="shared" si="0"/>
        <v>0</v>
      </c>
      <c r="T14" s="412">
        <f>IF(K14&gt;0,K14,$S14)</f>
        <v>0</v>
      </c>
      <c r="U14" s="396"/>
      <c r="V14" s="396">
        <f t="shared" si="1"/>
        <v>1</v>
      </c>
      <c r="W14" s="396">
        <f t="shared" si="1"/>
        <v>0</v>
      </c>
      <c r="X14" s="414">
        <f t="shared" si="2"/>
        <v>0</v>
      </c>
    </row>
    <row r="15" spans="2:24" ht="18">
      <c r="B15" s="411">
        <v>5</v>
      </c>
      <c r="C15" s="27"/>
      <c r="E15" s="87"/>
      <c r="G15" s="520"/>
      <c r="H15" s="520"/>
      <c r="I15" s="520"/>
      <c r="J15" s="415"/>
      <c r="K15" s="87"/>
      <c r="M15" s="26"/>
      <c r="O15" s="412">
        <f>IF(E15&gt;0,$M15/E15,0)</f>
        <v>0</v>
      </c>
      <c r="P15" s="412"/>
      <c r="Q15" s="412">
        <f>IF(K15&gt;0,$M15/K15,O15)</f>
        <v>0</v>
      </c>
      <c r="R15" s="396"/>
      <c r="S15" s="412">
        <f t="shared" si="0"/>
        <v>0</v>
      </c>
      <c r="T15" s="412">
        <f>IF(K15&gt;0,K15,$S15)</f>
        <v>0</v>
      </c>
      <c r="U15" s="396"/>
      <c r="V15" s="396">
        <f t="shared" si="1"/>
        <v>1</v>
      </c>
      <c r="W15" s="396">
        <f t="shared" si="1"/>
        <v>0</v>
      </c>
      <c r="X15" s="414">
        <f t="shared" si="2"/>
        <v>0</v>
      </c>
    </row>
    <row r="16" spans="2:24" ht="6.95" customHeight="1">
      <c r="G16" s="416"/>
      <c r="H16" s="416"/>
      <c r="I16" s="416"/>
      <c r="O16" s="396"/>
      <c r="P16" s="396"/>
      <c r="Q16" s="396"/>
      <c r="R16" s="396"/>
      <c r="S16" s="396"/>
      <c r="T16" s="396"/>
      <c r="U16" s="396"/>
      <c r="V16" s="396"/>
      <c r="W16" s="396"/>
      <c r="X16" s="396"/>
    </row>
    <row r="17" spans="3:24">
      <c r="C17" s="417" t="s">
        <v>76</v>
      </c>
      <c r="E17" s="418">
        <f>MAX(0,1-K17)</f>
        <v>1</v>
      </c>
      <c r="G17" s="523" t="s">
        <v>76</v>
      </c>
      <c r="H17" s="523"/>
      <c r="I17" s="523"/>
      <c r="K17" s="419"/>
      <c r="O17" s="412">
        <f>IF(ISNUMBER($E11),1/($M6+SUM(O11:O15)+$M7),0)</f>
        <v>0</v>
      </c>
      <c r="P17" s="396"/>
      <c r="Q17" s="412">
        <f>IF(ISNUMBER($E11),1/($M6+SUM(Q11:Q15)+$M7),0)</f>
        <v>0</v>
      </c>
      <c r="R17" s="396"/>
      <c r="S17" s="396"/>
      <c r="T17" s="396"/>
      <c r="U17" s="396"/>
      <c r="V17" s="396"/>
      <c r="W17" s="396"/>
      <c r="X17" s="396"/>
    </row>
    <row r="18" spans="3:24">
      <c r="O18" s="396"/>
      <c r="P18" s="396"/>
      <c r="Q18" s="396"/>
      <c r="R18" s="396"/>
      <c r="S18" s="396"/>
      <c r="T18" s="396"/>
      <c r="U18" s="396"/>
      <c r="V18" s="396"/>
      <c r="W18" s="396"/>
      <c r="X18" s="396"/>
    </row>
    <row r="19" spans="3:24" ht="15.75">
      <c r="I19" s="524" t="s">
        <v>83</v>
      </c>
      <c r="J19" s="524"/>
      <c r="K19" s="524"/>
      <c r="M19" s="420">
        <f>SUM(M11:M15)</f>
        <v>0</v>
      </c>
      <c r="N19" s="421" t="s">
        <v>28</v>
      </c>
      <c r="O19" s="422">
        <f>1-Q19</f>
        <v>1</v>
      </c>
      <c r="P19" s="396"/>
      <c r="Q19" s="422">
        <f>K17</f>
        <v>0</v>
      </c>
      <c r="R19" s="396"/>
      <c r="S19" s="396"/>
      <c r="T19" s="396"/>
      <c r="U19" s="396"/>
      <c r="V19" s="396"/>
      <c r="W19" s="396"/>
      <c r="X19" s="396"/>
    </row>
    <row r="20" spans="3:24" ht="18">
      <c r="G20" s="522" t="s">
        <v>321</v>
      </c>
      <c r="H20" s="522"/>
      <c r="I20" s="522"/>
      <c r="J20" s="522"/>
      <c r="K20" s="522"/>
      <c r="M20" s="423" t="str">
        <f>IF(O2,IF(O21&lt;0.1,1/O20,1/(W20*1.1)),"")</f>
        <v/>
      </c>
      <c r="N20" s="421" t="s">
        <v>14</v>
      </c>
      <c r="O20" s="412">
        <f>IF(O2,AVERAGE(Q20,X20),0)</f>
        <v>0</v>
      </c>
      <c r="P20" s="396" t="s">
        <v>79</v>
      </c>
      <c r="Q20" s="412">
        <f>IF(ISNUMBER(E11),1/SUMPRODUCT(O19:Q19,O17:Q17),0)</f>
        <v>0</v>
      </c>
      <c r="R20" s="396" t="s">
        <v>78</v>
      </c>
      <c r="S20" s="396"/>
      <c r="T20" s="396"/>
      <c r="U20" s="396"/>
      <c r="V20" s="396"/>
      <c r="W20" s="396" t="s">
        <v>81</v>
      </c>
      <c r="X20" s="412">
        <f>$M6+SUM(X11:X15)+$M7</f>
        <v>0.17</v>
      </c>
    </row>
    <row r="21" spans="3:24">
      <c r="N21" s="421"/>
      <c r="O21" s="424">
        <f>IF(O2,(Q20-X20)/(2*O20),0)</f>
        <v>0</v>
      </c>
      <c r="P21" s="396" t="s">
        <v>80</v>
      </c>
      <c r="Q21" s="396"/>
      <c r="R21" s="396"/>
      <c r="S21" s="396"/>
      <c r="T21" s="396"/>
      <c r="U21" s="396"/>
      <c r="V21" s="396"/>
      <c r="W21" s="396"/>
      <c r="X21" s="396"/>
    </row>
    <row r="22" spans="3:24">
      <c r="C22" s="525"/>
      <c r="D22" s="526"/>
      <c r="E22" s="526"/>
      <c r="F22" s="526"/>
      <c r="G22" s="526"/>
      <c r="H22" s="526"/>
      <c r="I22" s="526"/>
      <c r="J22" s="526"/>
      <c r="K22" s="526"/>
      <c r="L22" s="526"/>
      <c r="M22" s="527"/>
      <c r="O22" s="396"/>
      <c r="P22" s="396"/>
      <c r="Q22" s="396"/>
      <c r="R22" s="396"/>
      <c r="S22" s="396"/>
      <c r="T22" s="396"/>
      <c r="U22" s="396"/>
      <c r="V22" s="396"/>
      <c r="W22" s="396"/>
      <c r="X22" s="396"/>
    </row>
    <row r="23" spans="3:24">
      <c r="C23" s="528"/>
      <c r="D23" s="529"/>
      <c r="E23" s="529"/>
      <c r="F23" s="529"/>
      <c r="G23" s="529"/>
      <c r="H23" s="529"/>
      <c r="I23" s="529"/>
      <c r="J23" s="529"/>
      <c r="K23" s="529"/>
      <c r="L23" s="529"/>
      <c r="M23" s="530"/>
      <c r="O23" s="396"/>
      <c r="P23" s="396"/>
      <c r="Q23" s="396"/>
      <c r="R23" s="396"/>
      <c r="S23" s="396"/>
      <c r="T23" s="396"/>
      <c r="U23" s="396"/>
      <c r="V23" s="396"/>
      <c r="W23" s="396"/>
      <c r="X23" s="396"/>
    </row>
    <row r="24" spans="3:24">
      <c r="C24" s="528"/>
      <c r="D24" s="529"/>
      <c r="E24" s="529"/>
      <c r="F24" s="529"/>
      <c r="G24" s="529"/>
      <c r="H24" s="529"/>
      <c r="I24" s="529"/>
      <c r="J24" s="529"/>
      <c r="K24" s="529"/>
      <c r="L24" s="529"/>
      <c r="M24" s="530"/>
      <c r="O24" s="412" t="str">
        <f>IF(OR(ISNUMBER(M20),ISNUMBER(M41)),MIN(M20,M41),"")</f>
        <v/>
      </c>
      <c r="P24" s="396"/>
      <c r="Q24" s="396"/>
      <c r="R24" s="396"/>
      <c r="S24" s="396"/>
      <c r="T24" s="396"/>
      <c r="U24" s="396"/>
      <c r="V24" s="396"/>
      <c r="W24" s="396"/>
      <c r="X24" s="396"/>
    </row>
    <row r="25" spans="3:24">
      <c r="C25" s="528"/>
      <c r="D25" s="529"/>
      <c r="E25" s="529"/>
      <c r="F25" s="529"/>
      <c r="G25" s="529"/>
      <c r="H25" s="529"/>
      <c r="I25" s="529"/>
      <c r="J25" s="529"/>
      <c r="K25" s="529"/>
      <c r="L25" s="529"/>
      <c r="M25" s="530"/>
      <c r="O25" s="425"/>
      <c r="P25" s="396"/>
      <c r="Q25" s="396"/>
      <c r="R25" s="396"/>
      <c r="S25" s="396"/>
      <c r="T25" s="396"/>
      <c r="U25" s="396"/>
      <c r="V25" s="396"/>
      <c r="W25" s="396"/>
      <c r="X25" s="396"/>
    </row>
    <row r="26" spans="3:24">
      <c r="C26" s="528"/>
      <c r="D26" s="529"/>
      <c r="E26" s="529"/>
      <c r="F26" s="529"/>
      <c r="G26" s="529"/>
      <c r="H26" s="529"/>
      <c r="I26" s="529"/>
      <c r="J26" s="529"/>
      <c r="K26" s="529"/>
      <c r="L26" s="529"/>
      <c r="M26" s="530"/>
      <c r="O26" s="396"/>
      <c r="P26" s="396"/>
      <c r="Q26" s="396"/>
      <c r="R26" s="396"/>
      <c r="S26" s="396"/>
      <c r="T26" s="396"/>
      <c r="U26" s="396"/>
      <c r="V26" s="396"/>
      <c r="W26" s="396"/>
      <c r="X26" s="396"/>
    </row>
    <row r="27" spans="3:24">
      <c r="C27" s="528"/>
      <c r="D27" s="529"/>
      <c r="E27" s="529"/>
      <c r="F27" s="529"/>
      <c r="G27" s="529"/>
      <c r="H27" s="529"/>
      <c r="I27" s="529"/>
      <c r="J27" s="529"/>
      <c r="K27" s="529"/>
      <c r="L27" s="529"/>
      <c r="M27" s="530"/>
      <c r="O27" s="396"/>
      <c r="P27" s="396"/>
      <c r="Q27" s="396"/>
      <c r="R27" s="396"/>
      <c r="S27" s="396"/>
      <c r="T27" s="396"/>
      <c r="U27" s="396"/>
      <c r="V27" s="396"/>
      <c r="W27" s="396"/>
      <c r="X27" s="396"/>
    </row>
    <row r="28" spans="3:24">
      <c r="C28" s="528"/>
      <c r="D28" s="529"/>
      <c r="E28" s="529"/>
      <c r="F28" s="529"/>
      <c r="G28" s="529"/>
      <c r="H28" s="529"/>
      <c r="I28" s="529"/>
      <c r="J28" s="529"/>
      <c r="K28" s="529"/>
      <c r="L28" s="529"/>
      <c r="M28" s="530"/>
      <c r="O28" s="396"/>
      <c r="P28" s="396"/>
      <c r="Q28" s="396"/>
      <c r="R28" s="396"/>
      <c r="S28" s="396"/>
      <c r="T28" s="396"/>
      <c r="U28" s="396"/>
      <c r="V28" s="396"/>
      <c r="W28" s="396"/>
      <c r="X28" s="396"/>
    </row>
    <row r="29" spans="3:24">
      <c r="C29" s="528"/>
      <c r="D29" s="529"/>
      <c r="E29" s="529"/>
      <c r="F29" s="529"/>
      <c r="G29" s="529"/>
      <c r="H29" s="529"/>
      <c r="I29" s="529"/>
      <c r="J29" s="529"/>
      <c r="K29" s="529"/>
      <c r="L29" s="529"/>
      <c r="M29" s="530"/>
      <c r="O29" s="396"/>
      <c r="P29" s="396"/>
      <c r="Q29" s="396"/>
      <c r="R29" s="396"/>
      <c r="S29" s="396"/>
      <c r="T29" s="396"/>
      <c r="U29" s="396"/>
      <c r="V29" s="396"/>
      <c r="W29" s="396"/>
      <c r="X29" s="396"/>
    </row>
    <row r="30" spans="3:24">
      <c r="C30" s="528"/>
      <c r="D30" s="529"/>
      <c r="E30" s="529"/>
      <c r="F30" s="529"/>
      <c r="G30" s="529"/>
      <c r="H30" s="529"/>
      <c r="I30" s="529"/>
      <c r="J30" s="529"/>
      <c r="K30" s="529"/>
      <c r="L30" s="529"/>
      <c r="M30" s="530"/>
      <c r="O30" s="396"/>
      <c r="P30" s="396"/>
      <c r="Q30" s="396"/>
      <c r="R30" s="396"/>
      <c r="S30" s="396"/>
      <c r="T30" s="396"/>
      <c r="U30" s="396"/>
      <c r="V30" s="396"/>
      <c r="W30" s="396"/>
      <c r="X30" s="396"/>
    </row>
    <row r="31" spans="3:24">
      <c r="C31" s="528"/>
      <c r="D31" s="529"/>
      <c r="E31" s="529"/>
      <c r="F31" s="529"/>
      <c r="G31" s="529"/>
      <c r="H31" s="529"/>
      <c r="I31" s="529"/>
      <c r="J31" s="529"/>
      <c r="K31" s="529"/>
      <c r="L31" s="529"/>
      <c r="M31" s="530"/>
      <c r="O31" s="396"/>
      <c r="P31" s="396"/>
      <c r="Q31" s="396"/>
      <c r="R31" s="396"/>
      <c r="S31" s="396"/>
      <c r="T31" s="396"/>
      <c r="U31" s="396"/>
      <c r="V31" s="396"/>
      <c r="W31" s="396"/>
      <c r="X31" s="396"/>
    </row>
    <row r="32" spans="3:24">
      <c r="C32" s="528"/>
      <c r="D32" s="529"/>
      <c r="E32" s="529"/>
      <c r="F32" s="529"/>
      <c r="G32" s="529"/>
      <c r="H32" s="529"/>
      <c r="I32" s="529"/>
      <c r="J32" s="529"/>
      <c r="K32" s="529"/>
      <c r="L32" s="529"/>
      <c r="M32" s="530"/>
      <c r="O32" s="396"/>
      <c r="P32" s="396"/>
      <c r="Q32" s="396"/>
      <c r="R32" s="396"/>
      <c r="S32" s="396"/>
      <c r="T32" s="396"/>
      <c r="U32" s="396"/>
      <c r="V32" s="396"/>
      <c r="W32" s="396"/>
      <c r="X32" s="396"/>
    </row>
    <row r="33" spans="3:24">
      <c r="C33" s="528"/>
      <c r="D33" s="529"/>
      <c r="E33" s="529"/>
      <c r="F33" s="529"/>
      <c r="G33" s="529"/>
      <c r="H33" s="529"/>
      <c r="I33" s="529"/>
      <c r="J33" s="529"/>
      <c r="K33" s="529"/>
      <c r="L33" s="529"/>
      <c r="M33" s="530"/>
      <c r="O33" s="396"/>
      <c r="P33" s="396"/>
      <c r="Q33" s="396"/>
      <c r="R33" s="396"/>
      <c r="S33" s="396"/>
      <c r="T33" s="396"/>
      <c r="U33" s="396"/>
      <c r="V33" s="396"/>
      <c r="W33" s="396"/>
      <c r="X33" s="396"/>
    </row>
    <row r="34" spans="3:24">
      <c r="C34" s="528"/>
      <c r="D34" s="529"/>
      <c r="E34" s="529"/>
      <c r="F34" s="529"/>
      <c r="G34" s="529"/>
      <c r="H34" s="529"/>
      <c r="I34" s="529"/>
      <c r="J34" s="529"/>
      <c r="K34" s="529"/>
      <c r="L34" s="529"/>
      <c r="M34" s="530"/>
      <c r="O34" s="396"/>
      <c r="P34" s="396"/>
      <c r="Q34" s="396"/>
      <c r="R34" s="396"/>
      <c r="S34" s="396"/>
      <c r="T34" s="396"/>
      <c r="U34" s="396"/>
      <c r="V34" s="396"/>
      <c r="W34" s="396"/>
      <c r="X34" s="396"/>
    </row>
    <row r="35" spans="3:24">
      <c r="C35" s="528"/>
      <c r="D35" s="529"/>
      <c r="E35" s="529"/>
      <c r="F35" s="529"/>
      <c r="G35" s="529"/>
      <c r="H35" s="529"/>
      <c r="I35" s="529"/>
      <c r="J35" s="529"/>
      <c r="K35" s="529"/>
      <c r="L35" s="529"/>
      <c r="M35" s="530"/>
      <c r="O35" s="396"/>
      <c r="P35" s="396"/>
      <c r="Q35" s="396"/>
      <c r="R35" s="396"/>
      <c r="S35" s="396"/>
      <c r="T35" s="396"/>
      <c r="U35" s="396"/>
      <c r="V35" s="396"/>
      <c r="W35" s="396"/>
      <c r="X35" s="396"/>
    </row>
    <row r="36" spans="3:24">
      <c r="C36" s="528"/>
      <c r="D36" s="529"/>
      <c r="E36" s="529"/>
      <c r="F36" s="529"/>
      <c r="G36" s="529"/>
      <c r="H36" s="529"/>
      <c r="I36" s="529"/>
      <c r="J36" s="529"/>
      <c r="K36" s="529"/>
      <c r="L36" s="529"/>
      <c r="M36" s="530"/>
      <c r="O36" s="396"/>
      <c r="P36" s="396"/>
      <c r="Q36" s="396"/>
      <c r="R36" s="396"/>
      <c r="S36" s="396"/>
      <c r="T36" s="396"/>
      <c r="U36" s="396"/>
      <c r="V36" s="396"/>
      <c r="W36" s="396"/>
      <c r="X36" s="396"/>
    </row>
    <row r="37" spans="3:24">
      <c r="C37" s="528"/>
      <c r="D37" s="529"/>
      <c r="E37" s="529"/>
      <c r="F37" s="529"/>
      <c r="G37" s="529"/>
      <c r="H37" s="529"/>
      <c r="I37" s="529"/>
      <c r="J37" s="529"/>
      <c r="K37" s="529"/>
      <c r="L37" s="529"/>
      <c r="M37" s="530"/>
      <c r="O37" s="396"/>
      <c r="P37" s="396"/>
      <c r="Q37" s="396"/>
      <c r="R37" s="396"/>
      <c r="S37" s="396"/>
      <c r="T37" s="396"/>
      <c r="U37" s="396"/>
      <c r="V37" s="396"/>
      <c r="W37" s="396"/>
      <c r="X37" s="396"/>
    </row>
    <row r="38" spans="3:24">
      <c r="C38" s="528"/>
      <c r="D38" s="529"/>
      <c r="E38" s="529"/>
      <c r="F38" s="529"/>
      <c r="G38" s="529"/>
      <c r="H38" s="529"/>
      <c r="I38" s="529"/>
      <c r="J38" s="529"/>
      <c r="K38" s="529"/>
      <c r="L38" s="529"/>
      <c r="M38" s="530"/>
      <c r="O38" s="396"/>
      <c r="P38" s="396"/>
      <c r="Q38" s="396"/>
      <c r="R38" s="396"/>
      <c r="S38" s="396"/>
      <c r="T38" s="396"/>
      <c r="U38" s="396"/>
      <c r="V38" s="396"/>
      <c r="W38" s="396"/>
      <c r="X38" s="396"/>
    </row>
    <row r="39" spans="3:24">
      <c r="C39" s="531"/>
      <c r="D39" s="532"/>
      <c r="E39" s="532"/>
      <c r="F39" s="532"/>
      <c r="G39" s="532"/>
      <c r="H39" s="532"/>
      <c r="I39" s="532"/>
      <c r="J39" s="532"/>
      <c r="K39" s="532"/>
      <c r="L39" s="532"/>
      <c r="M39" s="533"/>
      <c r="O39" s="396"/>
      <c r="P39" s="396"/>
      <c r="Q39" s="396"/>
      <c r="R39" s="396"/>
      <c r="S39" s="396"/>
      <c r="T39" s="396"/>
      <c r="U39" s="396"/>
      <c r="V39" s="396"/>
      <c r="W39" s="396"/>
      <c r="X39" s="396"/>
    </row>
    <row r="40" spans="3:24">
      <c r="C40" s="426" t="s">
        <v>167</v>
      </c>
      <c r="O40" s="396"/>
      <c r="P40" s="396"/>
      <c r="Q40" s="396"/>
      <c r="R40" s="396"/>
      <c r="S40" s="396"/>
      <c r="T40" s="396"/>
      <c r="U40" s="396"/>
      <c r="V40" s="396"/>
      <c r="W40" s="396"/>
      <c r="X40" s="396"/>
    </row>
    <row r="41" spans="3:24" ht="18">
      <c r="G41" s="522" t="s">
        <v>168</v>
      </c>
      <c r="H41" s="522"/>
      <c r="I41" s="522"/>
      <c r="J41" s="522"/>
      <c r="K41" s="522"/>
      <c r="M41" s="87"/>
      <c r="N41" s="421" t="s">
        <v>14</v>
      </c>
      <c r="O41" s="396"/>
      <c r="P41" s="396"/>
      <c r="Q41" s="396"/>
      <c r="R41" s="396"/>
      <c r="S41" s="396"/>
      <c r="T41" s="396"/>
      <c r="U41" s="396"/>
      <c r="V41" s="396"/>
      <c r="W41" s="396"/>
      <c r="X41" s="396"/>
    </row>
    <row r="42" spans="3:24">
      <c r="O42" s="396"/>
      <c r="P42" s="396"/>
      <c r="Q42" s="396"/>
      <c r="R42" s="396"/>
      <c r="S42" s="396"/>
      <c r="T42" s="396"/>
      <c r="U42" s="396"/>
      <c r="V42" s="396"/>
      <c r="W42" s="396"/>
      <c r="X42" s="396"/>
    </row>
    <row r="43" spans="3:24">
      <c r="O43" s="396"/>
      <c r="P43" s="396"/>
      <c r="Q43" s="396"/>
      <c r="R43" s="396"/>
      <c r="S43" s="396"/>
      <c r="T43" s="396"/>
      <c r="U43" s="396"/>
      <c r="V43" s="396"/>
      <c r="W43" s="396"/>
      <c r="X43" s="396"/>
    </row>
    <row r="44" spans="3:24">
      <c r="O44" s="396"/>
      <c r="P44" s="396"/>
      <c r="Q44" s="396"/>
      <c r="R44" s="396"/>
      <c r="S44" s="396"/>
      <c r="T44" s="396"/>
      <c r="U44" s="396"/>
      <c r="V44" s="396"/>
      <c r="W44" s="396"/>
      <c r="X44" s="396"/>
    </row>
    <row r="45" spans="3:24">
      <c r="O45" s="396"/>
      <c r="P45" s="396"/>
      <c r="Q45" s="396"/>
      <c r="R45" s="396"/>
      <c r="S45" s="396"/>
      <c r="T45" s="396"/>
      <c r="U45" s="396"/>
      <c r="V45" s="396"/>
      <c r="W45" s="396"/>
      <c r="X45" s="396"/>
    </row>
    <row r="46" spans="3:24">
      <c r="O46" s="396"/>
      <c r="P46" s="396"/>
      <c r="Q46" s="396"/>
      <c r="R46" s="396"/>
      <c r="S46" s="396"/>
      <c r="T46" s="396"/>
      <c r="U46" s="396"/>
      <c r="V46" s="396"/>
      <c r="W46" s="396"/>
      <c r="X46" s="396"/>
    </row>
    <row r="47" spans="3:24">
      <c r="O47" s="396"/>
      <c r="P47" s="396"/>
      <c r="Q47" s="396"/>
      <c r="R47" s="396"/>
      <c r="S47" s="396"/>
      <c r="T47" s="396"/>
      <c r="U47" s="396"/>
      <c r="V47" s="396"/>
      <c r="W47" s="396"/>
      <c r="X47" s="396"/>
    </row>
  </sheetData>
  <sheetProtection algorithmName="SHA-512" hashValue="jOz5Yp5FXuNuQup3lrKdirtugfWzS7nLRDjfYLElrYT6qtxM/ux4Ar/p25Xugq8Z4kdyCcsxjEUYB3yigwswAw==" saltValue="V4Y3VW/RcMqELZuLljqWbg==" spinCount="100000" sheet="1" scenarios="1" selectLockedCells="1"/>
  <protectedRanges>
    <protectedRange sqref="C22:M39" name="Range1"/>
  </protectedRanges>
  <mergeCells count="11">
    <mergeCell ref="G41:K41"/>
    <mergeCell ref="G17:I17"/>
    <mergeCell ref="I19:K19"/>
    <mergeCell ref="C22:M39"/>
    <mergeCell ref="G20:K20"/>
    <mergeCell ref="G15:I15"/>
    <mergeCell ref="C7:I7"/>
    <mergeCell ref="G11:I11"/>
    <mergeCell ref="G12:I12"/>
    <mergeCell ref="G13:I13"/>
    <mergeCell ref="G14:I14"/>
  </mergeCells>
  <phoneticPr fontId="15" type="noConversion"/>
  <dataValidations count="1">
    <dataValidation type="decimal" allowBlank="1" showInputMessage="1" showErrorMessage="1" sqref="M41">
      <formula1>0.1</formula1>
      <formula2>4</formula2>
    </dataValidation>
  </dataValidations>
  <printOptions horizontalCentered="1"/>
  <pageMargins left="0.25" right="0.25" top="0.75000000000000011" bottom="0.75000000000000011" header="0.30000000000000004" footer="0.30000000000000004"/>
  <pageSetup orientation="portrait" r:id="rId1"/>
  <headerFooter>
    <oddFooter>&amp;L&amp;"Arial (Cuerpo),Normal"&amp;8&amp;K00-048&amp;F&amp;C&amp;"Arial (Cuerpo),Normal"&amp;8&amp;K00-048&amp;A&amp;R&amp;"Arial (Cuerpo),Normal"&amp;8&amp;K00-048Página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C00000"/>
  </sheetPr>
  <dimension ref="B1:AA38"/>
  <sheetViews>
    <sheetView showGridLines="0" showRowColHeaders="0" zoomScaleNormal="100" workbookViewId="0">
      <selection activeCell="C8" sqref="C8"/>
    </sheetView>
  </sheetViews>
  <sheetFormatPr baseColWidth="10" defaultColWidth="10.33203125" defaultRowHeight="15"/>
  <cols>
    <col min="1" max="1" width="4.77734375" customWidth="1"/>
    <col min="2" max="2" width="1.44140625" customWidth="1"/>
    <col min="3" max="3" width="33.5546875" customWidth="1"/>
    <col min="4" max="4" width="0.5546875" customWidth="1"/>
    <col min="5" max="5" width="8.77734375" customWidth="1"/>
    <col min="6" max="6" width="0.6640625" customWidth="1"/>
    <col min="7" max="7" width="8.77734375" customWidth="1"/>
    <col min="8" max="8" width="0.6640625" customWidth="1"/>
    <col min="9" max="9" width="7.33203125" customWidth="1"/>
    <col min="10" max="10" width="0.6640625" customWidth="1"/>
    <col min="11" max="11" width="8.77734375" customWidth="1"/>
    <col min="12" max="12" width="0.6640625" customWidth="1"/>
    <col min="13" max="13" width="8.6640625" customWidth="1"/>
    <col min="14" max="14" width="1.44140625" customWidth="1"/>
    <col min="15" max="15" width="7.6640625" hidden="1" customWidth="1"/>
    <col min="16" max="16" width="1" hidden="1" customWidth="1"/>
    <col min="17" max="17" width="14.33203125" hidden="1" customWidth="1"/>
    <col min="18" max="27" width="8.44140625" hidden="1" customWidth="1"/>
    <col min="28" max="50" width="8.44140625" customWidth="1"/>
  </cols>
  <sheetData>
    <row r="1" spans="2:27" ht="26.1" customHeight="1">
      <c r="B1" s="5" t="s">
        <v>433</v>
      </c>
      <c r="C1" s="6"/>
      <c r="D1" s="6"/>
      <c r="E1" s="6"/>
      <c r="F1" s="6"/>
      <c r="G1" s="7"/>
    </row>
    <row r="2" spans="2:27">
      <c r="B2" s="343" t="str">
        <f>"Para la evaluación energética: " &amp; tipo_eval</f>
        <v>Para la evaluación energética: Camino de Cumplimiento</v>
      </c>
    </row>
    <row r="3" spans="2:27">
      <c r="B3" s="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2:27" ht="11.1" customHeight="1">
      <c r="L4">
        <v>0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2:27"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2:27" ht="41.1" customHeight="1">
      <c r="C6" s="32" t="s">
        <v>43</v>
      </c>
      <c r="D6" s="16"/>
      <c r="E6" s="32" t="s">
        <v>45</v>
      </c>
      <c r="F6" s="32"/>
      <c r="G6" s="32" t="s">
        <v>54</v>
      </c>
      <c r="H6" s="32"/>
      <c r="J6" s="34"/>
      <c r="K6" s="32" t="s">
        <v>46</v>
      </c>
      <c r="L6" s="32"/>
      <c r="M6" s="32" t="s">
        <v>55</v>
      </c>
      <c r="N6" s="32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2:27">
      <c r="E7" s="9" t="s">
        <v>14</v>
      </c>
      <c r="F7" s="9"/>
      <c r="J7" s="35"/>
      <c r="L7" s="9"/>
      <c r="M7" s="9"/>
      <c r="N7" s="9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2:27" ht="18">
      <c r="C8" s="25"/>
      <c r="D8" s="98"/>
      <c r="E8" s="87"/>
      <c r="F8" s="99"/>
      <c r="G8" s="87"/>
      <c r="H8" s="100"/>
      <c r="J8" s="101"/>
      <c r="K8" s="87"/>
      <c r="L8" s="99"/>
      <c r="M8" s="13" t="str">
        <f>IF(ISNUMBER(K8),K8*0.87,"")</f>
        <v/>
      </c>
      <c r="N8" s="13"/>
      <c r="O8" s="38"/>
      <c r="P8" s="39" t="s">
        <v>60</v>
      </c>
      <c r="Q8" s="39"/>
      <c r="R8" s="39"/>
      <c r="S8" s="39"/>
      <c r="T8" s="39"/>
      <c r="U8" s="39"/>
      <c r="V8" s="39"/>
      <c r="W8" s="39"/>
      <c r="X8" s="39"/>
      <c r="Y8" s="38"/>
      <c r="Z8" s="38"/>
      <c r="AA8" s="38"/>
    </row>
    <row r="9" spans="2:27" ht="15.75">
      <c r="O9" s="38"/>
      <c r="P9" s="38"/>
      <c r="Q9" s="38"/>
      <c r="R9" s="38"/>
      <c r="S9" s="40" t="s">
        <v>45</v>
      </c>
      <c r="T9" s="40"/>
      <c r="U9" s="40" t="s">
        <v>44</v>
      </c>
      <c r="V9" s="38"/>
      <c r="W9" s="38"/>
      <c r="X9" s="38"/>
      <c r="Y9" s="38"/>
      <c r="Z9" s="38"/>
      <c r="AA9" s="38"/>
    </row>
    <row r="10" spans="2:27" ht="3.95" customHeight="1">
      <c r="O10" s="38"/>
      <c r="P10" s="38"/>
      <c r="Q10" s="102" t="s">
        <v>56</v>
      </c>
      <c r="R10" s="102"/>
      <c r="S10" s="103">
        <v>5.8</v>
      </c>
      <c r="T10" s="103"/>
      <c r="U10" s="103">
        <v>0.87</v>
      </c>
      <c r="V10" s="38"/>
      <c r="W10" s="38"/>
      <c r="X10" s="38"/>
      <c r="Y10" s="38"/>
      <c r="Z10" s="38"/>
      <c r="AA10" s="38"/>
    </row>
    <row r="11" spans="2:27" s="17" customFormat="1" ht="18" customHeight="1">
      <c r="C11" s="18" t="s">
        <v>47</v>
      </c>
      <c r="D11" s="18"/>
      <c r="E11" s="18" t="s">
        <v>45</v>
      </c>
      <c r="F11" s="18"/>
      <c r="G11" s="534" t="s">
        <v>48</v>
      </c>
      <c r="H11" s="534"/>
      <c r="I11" s="534"/>
      <c r="J11" s="18"/>
      <c r="K11" s="18"/>
      <c r="L11" s="18"/>
      <c r="O11" s="38"/>
      <c r="P11" s="38"/>
      <c r="Q11" s="102" t="s">
        <v>59</v>
      </c>
      <c r="R11" s="102"/>
      <c r="S11" s="103">
        <v>5.3</v>
      </c>
      <c r="T11" s="103"/>
      <c r="U11" s="103">
        <v>0.66</v>
      </c>
      <c r="V11" s="38"/>
      <c r="W11" s="38"/>
      <c r="X11" s="38"/>
      <c r="Y11" s="41"/>
      <c r="Z11" s="41"/>
      <c r="AA11" s="41"/>
    </row>
    <row r="12" spans="2:27">
      <c r="E12" s="9" t="s">
        <v>14</v>
      </c>
      <c r="F12" s="9"/>
      <c r="G12" s="9" t="s">
        <v>28</v>
      </c>
      <c r="I12" s="9"/>
      <c r="K12" s="9"/>
      <c r="L12" s="9"/>
      <c r="O12" s="38"/>
      <c r="P12" s="38"/>
      <c r="Q12" s="102" t="s">
        <v>61</v>
      </c>
      <c r="R12" s="102"/>
      <c r="S12" s="103">
        <v>5.18</v>
      </c>
      <c r="T12" s="103"/>
      <c r="U12" s="103">
        <v>0.59</v>
      </c>
      <c r="V12" s="38"/>
      <c r="W12" s="38"/>
      <c r="X12" s="38"/>
      <c r="Y12" s="38"/>
      <c r="Z12" s="38"/>
      <c r="AA12" s="38"/>
    </row>
    <row r="13" spans="2:27" ht="18">
      <c r="C13" s="25"/>
      <c r="D13" s="98"/>
      <c r="E13" s="87"/>
      <c r="F13" s="100"/>
      <c r="G13" s="25"/>
      <c r="H13" s="100"/>
      <c r="J13" s="98"/>
      <c r="L13" s="98"/>
      <c r="O13" s="38"/>
      <c r="P13" s="38"/>
      <c r="Q13" s="102" t="s">
        <v>57</v>
      </c>
      <c r="R13" s="102"/>
      <c r="S13" s="103">
        <v>2.9</v>
      </c>
      <c r="T13" s="103"/>
      <c r="U13" s="103">
        <v>0.77</v>
      </c>
      <c r="V13" s="38"/>
      <c r="W13" s="38"/>
      <c r="X13" s="38"/>
      <c r="Y13" s="38"/>
      <c r="Z13" s="38"/>
      <c r="AA13" s="38"/>
    </row>
    <row r="14" spans="2:27">
      <c r="O14" s="38"/>
      <c r="P14" s="38"/>
      <c r="Q14" s="102" t="s">
        <v>58</v>
      </c>
      <c r="R14" s="102"/>
      <c r="S14" s="103">
        <v>2.7</v>
      </c>
      <c r="T14" s="103"/>
      <c r="U14" s="103">
        <v>0.77</v>
      </c>
      <c r="V14" s="38"/>
      <c r="W14" s="38"/>
      <c r="X14" s="38"/>
      <c r="Y14" s="38"/>
      <c r="Z14" s="38"/>
      <c r="AA14" s="38"/>
    </row>
    <row r="15" spans="2:27" ht="38.1" customHeight="1">
      <c r="C15" s="535" t="s">
        <v>13</v>
      </c>
      <c r="D15" s="535"/>
      <c r="E15" s="32" t="s">
        <v>51</v>
      </c>
      <c r="G15" s="32" t="s">
        <v>53</v>
      </c>
      <c r="I15" s="20" t="s">
        <v>50</v>
      </c>
      <c r="K15" s="20" t="s">
        <v>49</v>
      </c>
      <c r="M15" s="32" t="s">
        <v>52</v>
      </c>
      <c r="N15" s="32"/>
      <c r="O15" s="38"/>
      <c r="P15" s="38"/>
      <c r="Q15" s="38"/>
      <c r="R15" s="38"/>
      <c r="S15" s="42"/>
      <c r="T15" s="42"/>
      <c r="U15" s="42"/>
      <c r="V15" s="38"/>
      <c r="W15" s="38"/>
      <c r="X15" s="38"/>
      <c r="Y15" s="38"/>
      <c r="Z15" s="38"/>
      <c r="AA15" s="38"/>
    </row>
    <row r="16" spans="2:27">
      <c r="C16" s="9" t="s">
        <v>14</v>
      </c>
      <c r="E16" s="9" t="s">
        <v>28</v>
      </c>
      <c r="G16" s="9" t="s">
        <v>28</v>
      </c>
      <c r="I16" s="9" t="s">
        <v>7</v>
      </c>
      <c r="K16" s="9" t="s">
        <v>7</v>
      </c>
      <c r="M16" s="9" t="s">
        <v>7</v>
      </c>
      <c r="N16" s="9"/>
      <c r="O16" s="38"/>
      <c r="P16" s="38"/>
      <c r="Q16" s="38"/>
      <c r="R16" s="38"/>
      <c r="S16" s="42"/>
      <c r="T16" s="42"/>
      <c r="U16" s="42"/>
      <c r="V16" s="38"/>
      <c r="W16" s="38"/>
      <c r="X16" s="38"/>
      <c r="Y16" s="38"/>
      <c r="Z16" s="38"/>
      <c r="AA16" s="38"/>
    </row>
    <row r="17" spans="3:27" ht="15.95" customHeight="1">
      <c r="C17" s="142" t="str">
        <f>IF(Z17,((E8*M17)+(E13*K17)+(0.08*((E17*2)+(G17*2))))/(M17+K17),"")</f>
        <v/>
      </c>
      <c r="D17" s="19"/>
      <c r="E17" s="25"/>
      <c r="G17" s="25"/>
      <c r="I17" s="100">
        <f>E17*G17</f>
        <v>0</v>
      </c>
      <c r="K17" s="100">
        <f>(G13*E17*2)+((G17-G13*2)*G13)</f>
        <v>0</v>
      </c>
      <c r="M17" s="15">
        <f>I17-K17</f>
        <v>0</v>
      </c>
      <c r="N17" s="15"/>
      <c r="O17" s="38"/>
      <c r="P17" s="38"/>
      <c r="Q17" s="38"/>
      <c r="R17" s="38"/>
      <c r="S17" s="42"/>
      <c r="T17" s="42"/>
      <c r="U17" s="42"/>
      <c r="V17" s="38"/>
      <c r="W17" s="38"/>
      <c r="X17" s="38"/>
      <c r="Y17" s="38"/>
      <c r="Z17" s="38">
        <f>IF(((E8*Ventanas_g*E13*G13*E17*G17)=0),0,1)</f>
        <v>0</v>
      </c>
      <c r="AA17" s="38"/>
    </row>
    <row r="18" spans="3:27" ht="15.95" customHeight="1">
      <c r="C18" s="19"/>
      <c r="D18" s="19"/>
      <c r="G18" s="14"/>
      <c r="O18" s="38"/>
      <c r="P18" s="38"/>
      <c r="Q18" s="38"/>
      <c r="R18" s="38"/>
      <c r="S18" s="42"/>
      <c r="T18" s="42"/>
      <c r="U18" s="42"/>
      <c r="V18" s="38"/>
      <c r="W18" s="38"/>
      <c r="X18" s="38"/>
      <c r="Y18" s="38"/>
      <c r="Z18" s="38"/>
      <c r="AA18" s="38"/>
    </row>
    <row r="19" spans="3:27" ht="15.75">
      <c r="C19" s="525"/>
      <c r="D19" s="526"/>
      <c r="E19" s="526"/>
      <c r="F19" s="526"/>
      <c r="G19" s="526"/>
      <c r="H19" s="526"/>
      <c r="I19" s="526"/>
      <c r="J19" s="526"/>
      <c r="K19" s="526"/>
      <c r="L19" s="526"/>
      <c r="M19" s="527"/>
      <c r="O19" s="38"/>
      <c r="P19" s="39" t="s">
        <v>62</v>
      </c>
      <c r="Q19" s="39"/>
      <c r="R19" s="39"/>
      <c r="S19" s="39"/>
      <c r="T19" s="39"/>
      <c r="U19" s="39"/>
      <c r="V19" s="39"/>
      <c r="W19" s="39"/>
      <c r="X19" s="39"/>
      <c r="Y19" s="38"/>
      <c r="Z19" s="38"/>
      <c r="AA19" s="38"/>
    </row>
    <row r="20" spans="3:27" ht="15.75">
      <c r="C20" s="528"/>
      <c r="D20" s="536"/>
      <c r="E20" s="536"/>
      <c r="F20" s="536"/>
      <c r="G20" s="536"/>
      <c r="H20" s="536"/>
      <c r="I20" s="536"/>
      <c r="J20" s="536"/>
      <c r="K20" s="536"/>
      <c r="L20" s="536"/>
      <c r="M20" s="530"/>
      <c r="O20" s="38"/>
      <c r="P20" s="38"/>
      <c r="Q20" s="38"/>
      <c r="R20" s="38"/>
      <c r="S20" s="40" t="s">
        <v>45</v>
      </c>
      <c r="T20" s="42"/>
      <c r="U20" s="42"/>
      <c r="V20" s="38"/>
      <c r="W20" s="38"/>
      <c r="X20" s="38"/>
      <c r="Y20" s="38"/>
      <c r="Z20" s="38"/>
      <c r="AA20" s="38"/>
    </row>
    <row r="21" spans="3:27">
      <c r="C21" s="528"/>
      <c r="D21" s="536"/>
      <c r="E21" s="536"/>
      <c r="F21" s="536"/>
      <c r="G21" s="536"/>
      <c r="H21" s="536"/>
      <c r="I21" s="536"/>
      <c r="J21" s="536"/>
      <c r="K21" s="536"/>
      <c r="L21" s="536"/>
      <c r="M21" s="530"/>
      <c r="O21" s="38"/>
      <c r="P21" s="38"/>
      <c r="Q21" s="102" t="s">
        <v>63</v>
      </c>
      <c r="R21" s="102"/>
      <c r="S21" s="103">
        <v>5.7</v>
      </c>
      <c r="T21" s="42"/>
      <c r="U21" s="42"/>
      <c r="V21" s="38"/>
      <c r="W21" s="38"/>
      <c r="X21" s="38"/>
      <c r="Y21" s="38"/>
      <c r="Z21" s="38"/>
      <c r="AA21" s="38"/>
    </row>
    <row r="22" spans="3:27">
      <c r="C22" s="528"/>
      <c r="D22" s="536"/>
      <c r="E22" s="536"/>
      <c r="F22" s="536"/>
      <c r="G22" s="536"/>
      <c r="H22" s="536"/>
      <c r="I22" s="536"/>
      <c r="J22" s="536"/>
      <c r="K22" s="536"/>
      <c r="L22" s="536"/>
      <c r="M22" s="530"/>
      <c r="O22" s="38"/>
      <c r="P22" s="38"/>
      <c r="Q22" s="102" t="s">
        <v>64</v>
      </c>
      <c r="R22" s="102"/>
      <c r="S22" s="103">
        <v>4</v>
      </c>
      <c r="T22" s="42"/>
      <c r="U22" s="42"/>
      <c r="V22" s="38"/>
      <c r="W22" s="38"/>
      <c r="X22" s="38"/>
      <c r="Y22" s="38"/>
      <c r="Z22" s="38"/>
      <c r="AA22" s="38"/>
    </row>
    <row r="23" spans="3:27">
      <c r="C23" s="528"/>
      <c r="D23" s="536"/>
      <c r="E23" s="536"/>
      <c r="F23" s="536"/>
      <c r="G23" s="536"/>
      <c r="H23" s="536"/>
      <c r="I23" s="536"/>
      <c r="J23" s="536"/>
      <c r="K23" s="536"/>
      <c r="L23" s="536"/>
      <c r="M23" s="530"/>
      <c r="O23" s="38"/>
      <c r="P23" s="38"/>
      <c r="Q23" s="102" t="s">
        <v>65</v>
      </c>
      <c r="R23" s="102"/>
      <c r="S23" s="103">
        <v>2.4</v>
      </c>
      <c r="T23" s="42"/>
      <c r="U23" s="42"/>
      <c r="V23" s="38"/>
      <c r="W23" s="38"/>
      <c r="X23" s="38"/>
      <c r="Y23" s="38"/>
      <c r="Z23" s="38"/>
      <c r="AA23" s="38"/>
    </row>
    <row r="24" spans="3:27">
      <c r="C24" s="528"/>
      <c r="D24" s="536"/>
      <c r="E24" s="536"/>
      <c r="F24" s="536"/>
      <c r="G24" s="536"/>
      <c r="H24" s="536"/>
      <c r="I24" s="536"/>
      <c r="J24" s="536"/>
      <c r="K24" s="536"/>
      <c r="L24" s="536"/>
      <c r="M24" s="530"/>
      <c r="O24" s="38"/>
      <c r="P24" s="38"/>
      <c r="Q24" s="102" t="s">
        <v>67</v>
      </c>
      <c r="R24" s="102"/>
      <c r="S24" s="103">
        <v>2.2000000000000002</v>
      </c>
      <c r="T24" s="42"/>
      <c r="U24" s="42"/>
      <c r="V24" s="38"/>
      <c r="W24" s="38"/>
      <c r="X24" s="38"/>
      <c r="Y24" s="38"/>
      <c r="Z24" s="38"/>
      <c r="AA24" s="38"/>
    </row>
    <row r="25" spans="3:27">
      <c r="C25" s="528"/>
      <c r="D25" s="536"/>
      <c r="E25" s="536"/>
      <c r="F25" s="536"/>
      <c r="G25" s="536"/>
      <c r="H25" s="536"/>
      <c r="I25" s="536"/>
      <c r="J25" s="536"/>
      <c r="K25" s="536"/>
      <c r="L25" s="536"/>
      <c r="M25" s="530"/>
      <c r="O25" s="38"/>
      <c r="P25" s="38"/>
      <c r="Q25" s="102" t="s">
        <v>66</v>
      </c>
      <c r="R25" s="102"/>
      <c r="S25" s="103">
        <v>1.8</v>
      </c>
      <c r="T25" s="42"/>
      <c r="U25" s="42"/>
      <c r="V25" s="38"/>
      <c r="W25" s="38"/>
      <c r="X25" s="38"/>
      <c r="Y25" s="38"/>
      <c r="Z25" s="38"/>
      <c r="AA25" s="38"/>
    </row>
    <row r="26" spans="3:27">
      <c r="C26" s="528"/>
      <c r="D26" s="536"/>
      <c r="E26" s="536"/>
      <c r="F26" s="536"/>
      <c r="G26" s="536"/>
      <c r="H26" s="536"/>
      <c r="I26" s="536"/>
      <c r="J26" s="536"/>
      <c r="K26" s="536"/>
      <c r="L26" s="536"/>
      <c r="M26" s="530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3:27">
      <c r="C27" s="528"/>
      <c r="D27" s="536"/>
      <c r="E27" s="536"/>
      <c r="F27" s="536"/>
      <c r="G27" s="536"/>
      <c r="H27" s="536"/>
      <c r="I27" s="536"/>
      <c r="J27" s="536"/>
      <c r="K27" s="536"/>
      <c r="L27" s="536"/>
      <c r="M27" s="530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3:27">
      <c r="C28" s="528"/>
      <c r="D28" s="536"/>
      <c r="E28" s="536"/>
      <c r="F28" s="536"/>
      <c r="G28" s="536"/>
      <c r="H28" s="536"/>
      <c r="I28" s="536"/>
      <c r="J28" s="536"/>
      <c r="K28" s="536"/>
      <c r="L28" s="536"/>
      <c r="M28" s="530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3:27">
      <c r="C29" s="528"/>
      <c r="D29" s="536"/>
      <c r="E29" s="536"/>
      <c r="F29" s="536"/>
      <c r="G29" s="536"/>
      <c r="H29" s="536"/>
      <c r="I29" s="536"/>
      <c r="J29" s="536"/>
      <c r="K29" s="536"/>
      <c r="L29" s="536"/>
      <c r="M29" s="530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3:27">
      <c r="C30" s="528"/>
      <c r="D30" s="536"/>
      <c r="E30" s="536"/>
      <c r="F30" s="536"/>
      <c r="G30" s="536"/>
      <c r="H30" s="536"/>
      <c r="I30" s="536"/>
      <c r="J30" s="536"/>
      <c r="K30" s="536"/>
      <c r="L30" s="536"/>
      <c r="M30" s="530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3:27" ht="15.75">
      <c r="C31" s="528"/>
      <c r="D31" s="536"/>
      <c r="E31" s="536"/>
      <c r="F31" s="536"/>
      <c r="G31" s="536"/>
      <c r="H31" s="536"/>
      <c r="I31" s="536"/>
      <c r="J31" s="536"/>
      <c r="K31" s="536"/>
      <c r="L31" s="536"/>
      <c r="M31" s="530"/>
      <c r="O31" s="43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3:27">
      <c r="C32" s="528"/>
      <c r="D32" s="536"/>
      <c r="E32" s="536"/>
      <c r="F32" s="536"/>
      <c r="G32" s="536"/>
      <c r="H32" s="536"/>
      <c r="I32" s="536"/>
      <c r="J32" s="536"/>
      <c r="K32" s="536"/>
      <c r="L32" s="536"/>
      <c r="M32" s="530"/>
    </row>
    <row r="33" spans="3:13">
      <c r="C33" s="528"/>
      <c r="D33" s="536"/>
      <c r="E33" s="536"/>
      <c r="F33" s="536"/>
      <c r="G33" s="536"/>
      <c r="H33" s="536"/>
      <c r="I33" s="536"/>
      <c r="J33" s="536"/>
      <c r="K33" s="536"/>
      <c r="L33" s="536"/>
      <c r="M33" s="530"/>
    </row>
    <row r="34" spans="3:13">
      <c r="C34" s="528"/>
      <c r="D34" s="536"/>
      <c r="E34" s="536"/>
      <c r="F34" s="536"/>
      <c r="G34" s="536"/>
      <c r="H34" s="536"/>
      <c r="I34" s="536"/>
      <c r="J34" s="536"/>
      <c r="K34" s="536"/>
      <c r="L34" s="536"/>
      <c r="M34" s="530"/>
    </row>
    <row r="35" spans="3:13">
      <c r="C35" s="528"/>
      <c r="D35" s="536"/>
      <c r="E35" s="536"/>
      <c r="F35" s="536"/>
      <c r="G35" s="536"/>
      <c r="H35" s="536"/>
      <c r="I35" s="536"/>
      <c r="J35" s="536"/>
      <c r="K35" s="536"/>
      <c r="L35" s="536"/>
      <c r="M35" s="530"/>
    </row>
    <row r="36" spans="3:13">
      <c r="C36" s="531"/>
      <c r="D36" s="532"/>
      <c r="E36" s="532"/>
      <c r="F36" s="532"/>
      <c r="G36" s="532"/>
      <c r="H36" s="532"/>
      <c r="I36" s="532"/>
      <c r="J36" s="532"/>
      <c r="K36" s="532"/>
      <c r="L36" s="532"/>
      <c r="M36" s="533"/>
    </row>
    <row r="37" spans="3:13">
      <c r="C37" s="537" t="s">
        <v>40</v>
      </c>
      <c r="D37" s="537"/>
      <c r="E37" s="15"/>
      <c r="F37" s="15"/>
      <c r="G37" s="15"/>
    </row>
    <row r="38" spans="3:13" ht="18">
      <c r="C38" s="538" t="s">
        <v>84</v>
      </c>
      <c r="D38" s="538"/>
      <c r="E38" s="538"/>
      <c r="F38" s="538"/>
      <c r="G38" s="538"/>
      <c r="H38" s="538"/>
      <c r="I38" s="538"/>
      <c r="K38" s="87"/>
      <c r="L38" s="24" t="s">
        <v>14</v>
      </c>
    </row>
  </sheetData>
  <sheetProtection algorithmName="SHA-512" hashValue="48fuSJrB0MIlJi+WbiT+k8ZXyWTUArHr0cpYYSUeEZ04XW2+n6Ej577eCLkukVpe5LFy076Djzk+AvbtRZ6Brw==" saltValue="yvqi30BhkpwoODsjG5ZRnA==" spinCount="100000" sheet="1" scenarios="1" selectLockedCells="1"/>
  <mergeCells count="5">
    <mergeCell ref="G11:I11"/>
    <mergeCell ref="C15:D15"/>
    <mergeCell ref="C19:M36"/>
    <mergeCell ref="C37:D37"/>
    <mergeCell ref="C38:I38"/>
  </mergeCells>
  <printOptions horizontalCentered="1"/>
  <pageMargins left="0.25" right="0.25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C00000"/>
  </sheetPr>
  <dimension ref="B1:X36"/>
  <sheetViews>
    <sheetView showGridLines="0" showRowColHeaders="0" zoomScaleNormal="100" zoomScalePageLayoutView="158" workbookViewId="0">
      <selection activeCell="E15" sqref="E15"/>
    </sheetView>
  </sheetViews>
  <sheetFormatPr baseColWidth="10" defaultColWidth="10.109375" defaultRowHeight="15"/>
  <cols>
    <col min="1" max="1" width="4.77734375" customWidth="1"/>
    <col min="2" max="2" width="1.6640625" customWidth="1"/>
    <col min="3" max="3" width="14.88671875" customWidth="1"/>
    <col min="4" max="4" width="0.5546875" customWidth="1"/>
    <col min="5" max="5" width="7.44140625" customWidth="1"/>
    <col min="6" max="6" width="0.6640625" customWidth="1"/>
    <col min="7" max="7" width="7.33203125" customWidth="1"/>
    <col min="8" max="8" width="0.6640625" customWidth="1"/>
    <col min="9" max="9" width="7.33203125" customWidth="1"/>
    <col min="10" max="10" width="0.6640625" customWidth="1"/>
    <col min="11" max="11" width="10.44140625" customWidth="1"/>
    <col min="12" max="12" width="0.6640625" customWidth="1"/>
    <col min="13" max="13" width="11" customWidth="1"/>
    <col min="14" max="14" width="13.44140625" customWidth="1"/>
    <col min="15" max="15" width="10" style="68" customWidth="1"/>
    <col min="16" max="16" width="3" style="68" customWidth="1"/>
    <col min="17" max="17" width="8.44140625" style="68" hidden="1" customWidth="1"/>
    <col min="18" max="18" width="5.33203125" style="68" customWidth="1"/>
    <col min="19" max="19" width="8.44140625" style="68" customWidth="1"/>
    <col min="20" max="20" width="7.109375" style="68" customWidth="1"/>
    <col min="21" max="21" width="6" style="68" customWidth="1"/>
    <col min="22" max="23" width="8.44140625" style="68" customWidth="1"/>
    <col min="24" max="24" width="9" style="68" customWidth="1"/>
    <col min="25" max="49" width="8.44140625" customWidth="1"/>
  </cols>
  <sheetData>
    <row r="1" spans="2:24" ht="26.1" customHeight="1">
      <c r="B1" s="344" t="s">
        <v>434</v>
      </c>
      <c r="C1" s="124"/>
      <c r="D1" s="124"/>
      <c r="E1" s="124"/>
      <c r="F1" s="124"/>
      <c r="G1" s="125"/>
      <c r="H1" s="125"/>
      <c r="I1" s="125"/>
      <c r="J1" s="125"/>
      <c r="K1" s="125"/>
      <c r="L1" s="125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2:24">
      <c r="B2" s="343" t="str">
        <f>"Para la evaluación energética: " &amp; tipo_eval</f>
        <v>Para la evaluación energética: Camino de Cumplimiento</v>
      </c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2:24">
      <c r="B3" s="3"/>
      <c r="O3"/>
      <c r="P3"/>
      <c r="Q3"/>
      <c r="R3"/>
      <c r="S3"/>
      <c r="T3"/>
      <c r="U3"/>
      <c r="V3"/>
      <c r="W3"/>
      <c r="X3" s="70"/>
    </row>
    <row r="4" spans="2:24" ht="11.1" customHeight="1">
      <c r="O4"/>
      <c r="P4"/>
      <c r="Q4"/>
      <c r="R4"/>
      <c r="S4"/>
      <c r="T4"/>
      <c r="U4"/>
      <c r="V4"/>
      <c r="W4"/>
      <c r="X4" s="70"/>
    </row>
    <row r="5" spans="2:24" ht="15.75">
      <c r="C5" s="539" t="s">
        <v>94</v>
      </c>
      <c r="E5" s="48" t="s">
        <v>95</v>
      </c>
      <c r="F5" s="48"/>
      <c r="G5" s="48" t="s">
        <v>109</v>
      </c>
      <c r="H5" s="48"/>
      <c r="I5" s="48" t="s">
        <v>96</v>
      </c>
      <c r="M5" s="47" t="s">
        <v>101</v>
      </c>
      <c r="N5" s="546" t="s">
        <v>113</v>
      </c>
      <c r="O5"/>
      <c r="P5"/>
      <c r="Q5"/>
      <c r="R5"/>
      <c r="S5"/>
      <c r="T5"/>
      <c r="U5"/>
      <c r="V5"/>
      <c r="W5"/>
      <c r="X5" s="70"/>
    </row>
    <row r="6" spans="2:24" ht="12" customHeight="1">
      <c r="C6" s="539"/>
      <c r="E6" s="22" t="s">
        <v>99</v>
      </c>
      <c r="F6" s="49"/>
      <c r="G6" s="22" t="s">
        <v>99</v>
      </c>
      <c r="H6" s="49"/>
      <c r="I6" s="22" t="s">
        <v>100</v>
      </c>
      <c r="M6" s="53" t="s">
        <v>100</v>
      </c>
      <c r="N6" s="547"/>
      <c r="O6"/>
      <c r="P6"/>
      <c r="Q6"/>
      <c r="R6"/>
      <c r="S6"/>
      <c r="T6"/>
      <c r="U6"/>
      <c r="V6"/>
      <c r="W6"/>
      <c r="X6" s="70"/>
    </row>
    <row r="7" spans="2:24" ht="18" customHeight="1">
      <c r="C7" s="539"/>
      <c r="E7" s="50"/>
      <c r="G7" s="50"/>
      <c r="I7" s="137">
        <f>E7*G7</f>
        <v>0</v>
      </c>
      <c r="M7" s="15">
        <f>I7-M10</f>
        <v>0</v>
      </c>
      <c r="N7" s="64" t="str">
        <f>IF(I7=0,"",(M7*1)/I7)</f>
        <v/>
      </c>
      <c r="O7"/>
      <c r="P7"/>
      <c r="Q7"/>
      <c r="R7"/>
      <c r="S7"/>
      <c r="T7"/>
      <c r="U7"/>
      <c r="V7"/>
      <c r="W7"/>
      <c r="X7" s="70"/>
    </row>
    <row r="8" spans="2:24" ht="15.75">
      <c r="C8" s="539" t="s">
        <v>97</v>
      </c>
      <c r="E8" s="48" t="s">
        <v>95</v>
      </c>
      <c r="F8" s="48"/>
      <c r="G8" s="48" t="s">
        <v>109</v>
      </c>
      <c r="H8" s="48"/>
      <c r="I8" s="48" t="s">
        <v>96</v>
      </c>
      <c r="J8" s="13"/>
      <c r="K8" s="541" t="s">
        <v>98</v>
      </c>
      <c r="L8" s="48"/>
      <c r="M8" s="540" t="s">
        <v>112</v>
      </c>
      <c r="N8" s="4"/>
      <c r="O8"/>
      <c r="P8"/>
      <c r="Q8"/>
      <c r="R8"/>
      <c r="S8"/>
      <c r="T8"/>
      <c r="U8"/>
      <c r="V8"/>
      <c r="W8"/>
      <c r="X8" s="70"/>
    </row>
    <row r="9" spans="2:24" ht="24.95" customHeight="1">
      <c r="C9" s="539"/>
      <c r="E9" s="22" t="s">
        <v>99</v>
      </c>
      <c r="F9" s="49"/>
      <c r="G9" s="22" t="s">
        <v>99</v>
      </c>
      <c r="H9" s="49"/>
      <c r="I9" s="22" t="s">
        <v>100</v>
      </c>
      <c r="K9" s="541"/>
      <c r="M9" s="540"/>
      <c r="N9" s="55" t="s">
        <v>110</v>
      </c>
      <c r="O9"/>
      <c r="P9"/>
      <c r="Q9"/>
      <c r="R9"/>
      <c r="S9"/>
      <c r="T9"/>
      <c r="U9"/>
      <c r="V9"/>
      <c r="W9"/>
      <c r="X9" s="70"/>
    </row>
    <row r="10" spans="2:24" ht="18">
      <c r="C10" s="539"/>
      <c r="E10" s="50"/>
      <c r="F10" s="46"/>
      <c r="G10" s="50"/>
      <c r="H10" s="46"/>
      <c r="I10" s="15">
        <f>E10*G10</f>
        <v>0</v>
      </c>
      <c r="J10" s="46"/>
      <c r="K10" s="52"/>
      <c r="L10" s="46"/>
      <c r="M10" s="56">
        <f>K10*I10</f>
        <v>0</v>
      </c>
      <c r="N10" s="64" t="str">
        <f>IF(I7=0,"",(M10*1)/I7)</f>
        <v/>
      </c>
      <c r="O10"/>
      <c r="P10"/>
      <c r="Q10"/>
      <c r="R10"/>
      <c r="S10"/>
      <c r="T10"/>
      <c r="U10"/>
      <c r="V10"/>
      <c r="W10"/>
      <c r="X10" s="70"/>
    </row>
    <row r="11" spans="2:24" ht="5.0999999999999996" customHeight="1" thickBot="1">
      <c r="C11" s="57"/>
      <c r="E11" s="15"/>
      <c r="F11" s="46"/>
      <c r="G11" s="15"/>
      <c r="H11" s="46"/>
      <c r="I11" s="15"/>
      <c r="J11" s="46"/>
      <c r="K11" s="138"/>
      <c r="L11" s="46"/>
      <c r="M11" s="15"/>
      <c r="N11" s="139"/>
      <c r="O11"/>
      <c r="P11"/>
      <c r="Q11"/>
      <c r="R11"/>
      <c r="S11"/>
      <c r="T11"/>
      <c r="U11"/>
      <c r="V11"/>
      <c r="W11"/>
      <c r="X11" s="70"/>
    </row>
    <row r="12" spans="2:24" ht="5.0999999999999996" customHeight="1" thickTop="1"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/>
      <c r="P12"/>
      <c r="Q12"/>
      <c r="R12"/>
      <c r="S12"/>
      <c r="T12"/>
      <c r="U12"/>
      <c r="V12"/>
      <c r="W12"/>
      <c r="X12" s="70"/>
    </row>
    <row r="13" spans="2:24" ht="15.75">
      <c r="C13" s="539" t="s">
        <v>102</v>
      </c>
      <c r="E13" s="48" t="s">
        <v>95</v>
      </c>
      <c r="F13" s="48"/>
      <c r="G13" s="48" t="s">
        <v>109</v>
      </c>
      <c r="H13" s="48"/>
      <c r="I13" s="48" t="s">
        <v>96</v>
      </c>
      <c r="K13" s="48" t="s">
        <v>103</v>
      </c>
      <c r="M13" s="54" t="s">
        <v>101</v>
      </c>
      <c r="N13" s="546" t="s">
        <v>113</v>
      </c>
      <c r="O13"/>
      <c r="P13"/>
      <c r="Q13"/>
      <c r="R13"/>
      <c r="S13"/>
      <c r="T13"/>
      <c r="U13"/>
      <c r="V13"/>
      <c r="W13"/>
      <c r="X13" s="70"/>
    </row>
    <row r="14" spans="2:24">
      <c r="C14" s="539"/>
      <c r="E14" s="22" t="s">
        <v>99</v>
      </c>
      <c r="F14" s="49"/>
      <c r="G14" s="22" t="s">
        <v>99</v>
      </c>
      <c r="H14" s="49"/>
      <c r="I14" s="22" t="s">
        <v>100</v>
      </c>
      <c r="M14" s="53" t="s">
        <v>100</v>
      </c>
      <c r="N14" s="547"/>
      <c r="O14"/>
      <c r="P14"/>
      <c r="Q14" s="37"/>
      <c r="R14"/>
      <c r="S14"/>
      <c r="T14"/>
      <c r="U14"/>
      <c r="V14"/>
      <c r="W14"/>
      <c r="X14" s="70"/>
    </row>
    <row r="15" spans="2:24" ht="18">
      <c r="C15" s="539"/>
      <c r="E15" s="50"/>
      <c r="G15" s="50"/>
      <c r="I15" s="137">
        <f>E15*G15</f>
        <v>0</v>
      </c>
      <c r="K15" s="51"/>
      <c r="M15" s="15">
        <f>I15-M18</f>
        <v>0</v>
      </c>
      <c r="N15" s="64" t="str">
        <f>IF(I15=0,"",(M15*1)/I15)</f>
        <v/>
      </c>
      <c r="O15"/>
      <c r="P15"/>
      <c r="Q15" s="37" t="s">
        <v>150</v>
      </c>
      <c r="R15"/>
      <c r="S15"/>
      <c r="T15"/>
      <c r="U15"/>
      <c r="V15"/>
      <c r="W15"/>
      <c r="X15" s="70"/>
    </row>
    <row r="16" spans="2:24" ht="15.75">
      <c r="C16" s="539" t="s">
        <v>106</v>
      </c>
      <c r="E16" s="48" t="s">
        <v>95</v>
      </c>
      <c r="F16" s="48"/>
      <c r="G16" s="48" t="s">
        <v>109</v>
      </c>
      <c r="H16" s="48"/>
      <c r="I16" s="48" t="s">
        <v>96</v>
      </c>
      <c r="J16" s="13"/>
      <c r="K16" s="542" t="s">
        <v>98</v>
      </c>
      <c r="L16" s="48"/>
      <c r="M16" s="539" t="s">
        <v>112</v>
      </c>
      <c r="N16" s="4"/>
      <c r="O16"/>
      <c r="P16"/>
      <c r="Q16" s="37" t="s">
        <v>111</v>
      </c>
      <c r="R16"/>
      <c r="S16"/>
      <c r="T16"/>
      <c r="U16"/>
      <c r="V16"/>
      <c r="W16"/>
      <c r="X16" s="70"/>
    </row>
    <row r="17" spans="3:24" ht="24.95" customHeight="1">
      <c r="C17" s="539"/>
      <c r="E17" s="22" t="s">
        <v>99</v>
      </c>
      <c r="F17" s="49"/>
      <c r="G17" s="22" t="s">
        <v>99</v>
      </c>
      <c r="H17" s="49"/>
      <c r="I17" s="22" t="s">
        <v>100</v>
      </c>
      <c r="K17" s="543"/>
      <c r="M17" s="539"/>
      <c r="N17" s="55" t="s">
        <v>110</v>
      </c>
      <c r="O17"/>
      <c r="P17"/>
      <c r="Q17"/>
      <c r="R17"/>
      <c r="S17"/>
      <c r="T17"/>
      <c r="U17"/>
      <c r="V17"/>
      <c r="W17"/>
      <c r="X17" s="70"/>
    </row>
    <row r="18" spans="3:24" ht="18">
      <c r="C18" s="539"/>
      <c r="E18" s="50"/>
      <c r="F18" s="46"/>
      <c r="G18" s="50"/>
      <c r="H18" s="46"/>
      <c r="I18" s="15">
        <f>E18*G18</f>
        <v>0</v>
      </c>
      <c r="J18" s="46"/>
      <c r="K18" s="52"/>
      <c r="L18" s="46"/>
      <c r="M18" s="15">
        <f>K18*I18</f>
        <v>0</v>
      </c>
      <c r="N18" s="64" t="str">
        <f>IF(I15=0,"",(M18*1)/I15)</f>
        <v/>
      </c>
      <c r="O18"/>
      <c r="P18"/>
      <c r="Q18"/>
      <c r="R18"/>
      <c r="S18"/>
      <c r="T18"/>
      <c r="U18"/>
      <c r="V18"/>
      <c r="W18"/>
      <c r="X18" s="70"/>
    </row>
    <row r="19" spans="3:24" ht="5.0999999999999996" customHeight="1" thickBot="1">
      <c r="C19" s="61"/>
      <c r="D19" s="60"/>
      <c r="E19" s="63"/>
      <c r="F19" s="62"/>
      <c r="G19" s="63"/>
      <c r="H19" s="62"/>
      <c r="I19" s="63"/>
      <c r="J19" s="62"/>
      <c r="K19" s="140"/>
      <c r="L19" s="62"/>
      <c r="M19" s="63"/>
      <c r="N19" s="141"/>
      <c r="O19"/>
      <c r="P19"/>
      <c r="Q19"/>
      <c r="R19"/>
      <c r="S19"/>
      <c r="T19"/>
      <c r="U19"/>
      <c r="V19"/>
      <c r="W19"/>
      <c r="X19" s="70"/>
    </row>
    <row r="20" spans="3:24" ht="5.0999999999999996" customHeight="1" thickTop="1">
      <c r="C20" s="59"/>
      <c r="O20"/>
      <c r="P20"/>
      <c r="Q20"/>
      <c r="R20"/>
      <c r="S20"/>
      <c r="T20"/>
      <c r="U20"/>
      <c r="V20"/>
      <c r="W20"/>
      <c r="X20" s="70"/>
    </row>
    <row r="21" spans="3:24" ht="15.75">
      <c r="C21" s="539" t="s">
        <v>104</v>
      </c>
      <c r="E21" s="48" t="s">
        <v>95</v>
      </c>
      <c r="F21" s="48"/>
      <c r="G21" s="48" t="s">
        <v>109</v>
      </c>
      <c r="H21" s="48"/>
      <c r="I21" s="48" t="s">
        <v>96</v>
      </c>
      <c r="K21" s="48" t="s">
        <v>103</v>
      </c>
      <c r="M21" s="47" t="s">
        <v>101</v>
      </c>
      <c r="N21" s="546" t="s">
        <v>113</v>
      </c>
      <c r="O21"/>
      <c r="P21"/>
      <c r="Q21"/>
      <c r="R21"/>
      <c r="S21"/>
      <c r="T21"/>
      <c r="U21"/>
      <c r="V21"/>
      <c r="W21"/>
      <c r="X21" s="70"/>
    </row>
    <row r="22" spans="3:24">
      <c r="C22" s="539"/>
      <c r="E22" s="22" t="s">
        <v>99</v>
      </c>
      <c r="F22" s="49"/>
      <c r="G22" s="22" t="s">
        <v>99</v>
      </c>
      <c r="H22" s="49"/>
      <c r="I22" s="22" t="s">
        <v>100</v>
      </c>
      <c r="M22" s="53" t="s">
        <v>100</v>
      </c>
      <c r="N22" s="547"/>
      <c r="O22"/>
      <c r="P22"/>
      <c r="Q22"/>
      <c r="R22"/>
      <c r="S22"/>
      <c r="T22"/>
      <c r="U22"/>
      <c r="V22"/>
      <c r="W22"/>
      <c r="X22" s="70"/>
    </row>
    <row r="23" spans="3:24" ht="18">
      <c r="C23" s="539"/>
      <c r="E23" s="50"/>
      <c r="G23" s="50"/>
      <c r="I23" s="137">
        <f>E23*G23</f>
        <v>0</v>
      </c>
      <c r="K23" s="51"/>
      <c r="M23" s="15">
        <f>I23-M26</f>
        <v>0</v>
      </c>
      <c r="N23" s="64" t="str">
        <f>IF(I23=0,"",(M23*1)/I23)</f>
        <v/>
      </c>
      <c r="O23"/>
      <c r="P23"/>
      <c r="Q23"/>
      <c r="R23"/>
      <c r="S23"/>
      <c r="T23"/>
      <c r="U23"/>
      <c r="V23"/>
      <c r="W23"/>
      <c r="X23" s="70"/>
    </row>
    <row r="24" spans="3:24" ht="15.75">
      <c r="C24" s="539" t="s">
        <v>105</v>
      </c>
      <c r="E24" s="48" t="s">
        <v>95</v>
      </c>
      <c r="F24" s="48"/>
      <c r="G24" s="48" t="s">
        <v>109</v>
      </c>
      <c r="H24" s="48"/>
      <c r="I24" s="48" t="s">
        <v>96</v>
      </c>
      <c r="J24" s="13"/>
      <c r="K24" s="542" t="s">
        <v>98</v>
      </c>
      <c r="L24" s="48"/>
      <c r="M24" s="539" t="s">
        <v>112</v>
      </c>
      <c r="N24" s="4"/>
      <c r="O24"/>
      <c r="P24"/>
      <c r="Q24"/>
      <c r="R24"/>
      <c r="S24"/>
      <c r="T24"/>
      <c r="U24"/>
      <c r="V24"/>
      <c r="W24"/>
      <c r="X24" s="70"/>
    </row>
    <row r="25" spans="3:24" ht="24.95" customHeight="1">
      <c r="C25" s="539"/>
      <c r="E25" s="22" t="s">
        <v>99</v>
      </c>
      <c r="F25" s="49"/>
      <c r="G25" s="22" t="s">
        <v>99</v>
      </c>
      <c r="H25" s="49"/>
      <c r="I25" s="22" t="s">
        <v>100</v>
      </c>
      <c r="K25" s="543"/>
      <c r="M25" s="539"/>
      <c r="N25" s="55" t="s">
        <v>110</v>
      </c>
      <c r="O25"/>
      <c r="P25"/>
      <c r="Q25"/>
      <c r="R25"/>
      <c r="S25"/>
      <c r="T25"/>
      <c r="U25"/>
      <c r="V25"/>
      <c r="W25"/>
      <c r="X25" s="70"/>
    </row>
    <row r="26" spans="3:24" ht="18">
      <c r="C26" s="539"/>
      <c r="E26" s="50"/>
      <c r="F26" s="46"/>
      <c r="G26" s="50"/>
      <c r="H26" s="46"/>
      <c r="I26" s="15">
        <f>E26*G26</f>
        <v>0</v>
      </c>
      <c r="J26" s="46"/>
      <c r="K26" s="52"/>
      <c r="L26" s="46"/>
      <c r="M26" s="15">
        <f>K26*I26</f>
        <v>0</v>
      </c>
      <c r="N26" s="64" t="str">
        <f>IF(I23=0,"",(M26*1)/I23)</f>
        <v/>
      </c>
      <c r="O26"/>
      <c r="P26"/>
      <c r="Q26"/>
      <c r="R26"/>
      <c r="S26"/>
      <c r="T26"/>
      <c r="U26"/>
      <c r="V26"/>
      <c r="W26"/>
      <c r="X26" s="70"/>
    </row>
    <row r="27" spans="3:24" ht="5.0999999999999996" customHeight="1" thickBot="1">
      <c r="C27" s="61"/>
      <c r="D27" s="60"/>
      <c r="E27" s="63"/>
      <c r="F27" s="62"/>
      <c r="G27" s="63"/>
      <c r="H27" s="62"/>
      <c r="I27" s="63"/>
      <c r="J27" s="62"/>
      <c r="K27" s="140"/>
      <c r="L27" s="62"/>
      <c r="M27" s="63"/>
      <c r="N27" s="60"/>
      <c r="O27"/>
      <c r="P27"/>
      <c r="Q27"/>
      <c r="R27"/>
      <c r="S27"/>
      <c r="T27"/>
      <c r="U27"/>
      <c r="V27"/>
      <c r="W27"/>
      <c r="X27" s="70"/>
    </row>
    <row r="28" spans="3:24" ht="5.0999999999999996" customHeight="1" thickTop="1">
      <c r="C28" s="59"/>
      <c r="O28"/>
      <c r="P28"/>
      <c r="Q28"/>
      <c r="R28"/>
      <c r="S28"/>
      <c r="T28"/>
      <c r="U28"/>
      <c r="V28"/>
      <c r="W28"/>
      <c r="X28" s="70"/>
    </row>
    <row r="29" spans="3:24" ht="15.75">
      <c r="C29" s="539" t="s">
        <v>107</v>
      </c>
      <c r="E29" s="48" t="s">
        <v>95</v>
      </c>
      <c r="F29" s="48"/>
      <c r="G29" s="48" t="s">
        <v>109</v>
      </c>
      <c r="H29" s="48"/>
      <c r="I29" s="48" t="s">
        <v>96</v>
      </c>
      <c r="K29" s="48" t="s">
        <v>103</v>
      </c>
      <c r="M29" s="47" t="s">
        <v>101</v>
      </c>
      <c r="N29" s="546" t="s">
        <v>113</v>
      </c>
      <c r="O29"/>
      <c r="P29"/>
      <c r="Q29"/>
      <c r="R29"/>
      <c r="S29"/>
      <c r="T29"/>
      <c r="U29"/>
      <c r="V29"/>
      <c r="W29"/>
      <c r="X29" s="70"/>
    </row>
    <row r="30" spans="3:24">
      <c r="C30" s="539"/>
      <c r="E30" s="22" t="s">
        <v>99</v>
      </c>
      <c r="F30" s="49"/>
      <c r="G30" s="22" t="s">
        <v>99</v>
      </c>
      <c r="H30" s="49"/>
      <c r="I30" s="22" t="s">
        <v>100</v>
      </c>
      <c r="M30" s="53" t="s">
        <v>100</v>
      </c>
      <c r="N30" s="547"/>
      <c r="O30"/>
      <c r="P30"/>
      <c r="Q30"/>
      <c r="R30"/>
      <c r="S30"/>
      <c r="T30"/>
      <c r="U30"/>
      <c r="V30"/>
      <c r="W30"/>
      <c r="X30" s="70"/>
    </row>
    <row r="31" spans="3:24" ht="18">
      <c r="C31" s="539"/>
      <c r="E31" s="50"/>
      <c r="G31" s="50"/>
      <c r="I31" s="137">
        <f>E31*G31</f>
        <v>0</v>
      </c>
      <c r="K31" s="51"/>
      <c r="M31" s="15">
        <f>I31-M34</f>
        <v>0</v>
      </c>
      <c r="N31" s="64" t="str">
        <f>IF(I31=0,"",(M31*1)/I31)</f>
        <v/>
      </c>
      <c r="O31"/>
      <c r="P31"/>
      <c r="Q31"/>
      <c r="R31"/>
      <c r="S31"/>
      <c r="T31"/>
      <c r="U31"/>
      <c r="V31"/>
      <c r="W31"/>
      <c r="X31" s="70"/>
    </row>
    <row r="32" spans="3:24" ht="15.75">
      <c r="C32" s="539" t="s">
        <v>108</v>
      </c>
      <c r="E32" s="48" t="s">
        <v>95</v>
      </c>
      <c r="F32" s="48"/>
      <c r="G32" s="48" t="s">
        <v>109</v>
      </c>
      <c r="H32" s="48"/>
      <c r="I32" s="48" t="s">
        <v>96</v>
      </c>
      <c r="J32" s="13"/>
      <c r="K32" s="544" t="s">
        <v>98</v>
      </c>
      <c r="L32" s="48"/>
      <c r="M32" s="539" t="s">
        <v>112</v>
      </c>
      <c r="N32" s="4"/>
      <c r="O32"/>
      <c r="P32"/>
      <c r="Q32"/>
      <c r="R32"/>
      <c r="S32"/>
      <c r="T32"/>
      <c r="U32"/>
      <c r="V32"/>
      <c r="W32"/>
      <c r="X32" s="70"/>
    </row>
    <row r="33" spans="3:24" ht="24.95" customHeight="1">
      <c r="C33" s="539"/>
      <c r="E33" s="22" t="s">
        <v>99</v>
      </c>
      <c r="F33" s="49"/>
      <c r="G33" s="22" t="s">
        <v>99</v>
      </c>
      <c r="H33" s="49"/>
      <c r="I33" s="22" t="s">
        <v>100</v>
      </c>
      <c r="K33" s="545"/>
      <c r="M33" s="539"/>
      <c r="N33" s="55" t="s">
        <v>110</v>
      </c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3:24" ht="18">
      <c r="C34" s="539"/>
      <c r="E34" s="50"/>
      <c r="F34" s="46"/>
      <c r="G34" s="50"/>
      <c r="H34" s="46"/>
      <c r="I34" s="15">
        <f>E34*G34</f>
        <v>0</v>
      </c>
      <c r="J34" s="46"/>
      <c r="K34" s="52"/>
      <c r="L34" s="46"/>
      <c r="M34" s="15">
        <f>K34*I34</f>
        <v>0</v>
      </c>
      <c r="N34" s="64" t="str">
        <f>IF(I31=0,"",(M34*1)/I31)</f>
        <v/>
      </c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3:24" ht="12.75" customHeight="1" thickBot="1"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3:24" ht="13.5" customHeight="1" thickTop="1"/>
  </sheetData>
  <sheetProtection algorithmName="SHA-512" hashValue="um/Dt2xmv4xcdEGg+WaEAbO7E82xJDd4yvEkS7Q12g705acLOd7/egY6W2eDOh+siPlS0xQh/WOQSEmn9ujczQ==" saltValue="4RbmGJ+7Qce43e9ut09cfQ==" spinCount="100000" sheet="1" selectLockedCells="1"/>
  <mergeCells count="20">
    <mergeCell ref="N5:N6"/>
    <mergeCell ref="N13:N14"/>
    <mergeCell ref="N21:N22"/>
    <mergeCell ref="N29:N30"/>
    <mergeCell ref="C5:C7"/>
    <mergeCell ref="C32:C34"/>
    <mergeCell ref="M8:M9"/>
    <mergeCell ref="K8:K9"/>
    <mergeCell ref="M16:M17"/>
    <mergeCell ref="M32:M33"/>
    <mergeCell ref="M24:M25"/>
    <mergeCell ref="K16:K17"/>
    <mergeCell ref="K24:K25"/>
    <mergeCell ref="K32:K33"/>
    <mergeCell ref="C8:C10"/>
    <mergeCell ref="C13:C15"/>
    <mergeCell ref="C16:C18"/>
    <mergeCell ref="C21:C23"/>
    <mergeCell ref="C24:C26"/>
    <mergeCell ref="C29:C31"/>
  </mergeCells>
  <phoneticPr fontId="15" type="noConversion"/>
  <dataValidations count="1">
    <dataValidation type="list" showInputMessage="1" showErrorMessage="1" sqref="K15 K31 K23">
      <formula1>$Q$14:$Q$16</formula1>
    </dataValidation>
  </dataValidations>
  <printOptions horizontalCentered="1"/>
  <pageMargins left="0.25" right="0.25" top="0.75" bottom="0.75" header="0.3" footer="0.3"/>
  <pageSetup orientation="portrait" r:id="rId1"/>
  <headerFooter>
    <oddFooter>&amp;L&amp;"Arial,Normal"&amp;8&amp;K00-048&amp;F&amp;C&amp;"Arial (Cuerpo),Normal"&amp;8&amp;K00-048&amp;A&amp;R&amp;"Arial,Normal"&amp;9&amp;K01+047Página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C00000"/>
  </sheetPr>
  <dimension ref="B1:Y42"/>
  <sheetViews>
    <sheetView showGridLines="0" showRowColHeaders="0" zoomScaleNormal="100" zoomScalePageLayoutView="158" workbookViewId="0">
      <selection activeCell="C5" sqref="C5:I21"/>
    </sheetView>
  </sheetViews>
  <sheetFormatPr baseColWidth="10" defaultColWidth="10" defaultRowHeight="15"/>
  <cols>
    <col min="1" max="1" width="4.77734375" customWidth="1"/>
    <col min="2" max="2" width="1.6640625" customWidth="1"/>
    <col min="3" max="3" width="14.33203125" customWidth="1"/>
    <col min="4" max="4" width="0.5546875" customWidth="1"/>
    <col min="5" max="5" width="7.44140625" customWidth="1"/>
    <col min="6" max="6" width="0.6640625" customWidth="1"/>
    <col min="7" max="7" width="7.33203125" customWidth="1"/>
    <col min="8" max="8" width="0.6640625" customWidth="1"/>
    <col min="9" max="9" width="7.33203125" customWidth="1"/>
    <col min="10" max="10" width="0.6640625" customWidth="1"/>
    <col min="11" max="11" width="10.44140625" customWidth="1"/>
    <col min="12" max="12" width="0.6640625" customWidth="1"/>
    <col min="13" max="13" width="11" customWidth="1"/>
    <col min="14" max="14" width="16.33203125" customWidth="1"/>
    <col min="15" max="15" width="1.6640625" customWidth="1"/>
    <col min="16" max="16" width="10" style="68" customWidth="1"/>
    <col min="17" max="17" width="3" style="68" customWidth="1"/>
    <col min="18" max="18" width="8.44140625" style="68" customWidth="1"/>
    <col min="19" max="19" width="5.33203125" style="68" customWidth="1"/>
    <col min="20" max="20" width="8.44140625" style="68" customWidth="1"/>
    <col min="21" max="21" width="7.109375" style="68" customWidth="1"/>
    <col min="22" max="22" width="6" style="68" customWidth="1"/>
    <col min="23" max="24" width="8.44140625" style="68" customWidth="1"/>
    <col min="25" max="25" width="9" style="68" customWidth="1"/>
    <col min="26" max="50" width="8.44140625" customWidth="1"/>
  </cols>
  <sheetData>
    <row r="1" spans="2:25" ht="26.1" customHeight="1">
      <c r="B1" s="5" t="s">
        <v>435</v>
      </c>
      <c r="C1" s="6"/>
      <c r="D1" s="6"/>
      <c r="E1" s="6"/>
      <c r="F1" s="6"/>
      <c r="K1" s="123"/>
      <c r="L1" s="123"/>
      <c r="M1" s="123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2:25">
      <c r="B2" s="146" t="str">
        <f>"Para la evaluación energética: " &amp; tipo_eval</f>
        <v>Para la evaluación energética: Camino de Cumplimiento</v>
      </c>
      <c r="G2" s="44"/>
      <c r="H2" s="44"/>
      <c r="I2" s="44"/>
      <c r="J2" s="44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2:25">
      <c r="B3" s="3"/>
      <c r="P3"/>
      <c r="Q3"/>
      <c r="R3"/>
      <c r="S3"/>
      <c r="T3"/>
      <c r="U3"/>
      <c r="V3"/>
      <c r="W3"/>
      <c r="X3"/>
      <c r="Y3" s="70"/>
    </row>
    <row r="4" spans="2:25" ht="11.1" customHeight="1">
      <c r="P4"/>
      <c r="Q4"/>
      <c r="R4"/>
      <c r="S4"/>
      <c r="T4"/>
      <c r="U4"/>
      <c r="V4"/>
      <c r="W4"/>
      <c r="X4"/>
      <c r="Y4" s="70"/>
    </row>
    <row r="5" spans="2:25">
      <c r="C5" s="525"/>
      <c r="D5" s="526"/>
      <c r="E5" s="526"/>
      <c r="F5" s="526"/>
      <c r="G5" s="526"/>
      <c r="H5" s="526"/>
      <c r="I5" s="527"/>
      <c r="K5" s="525"/>
      <c r="L5" s="526"/>
      <c r="M5" s="526"/>
      <c r="N5" s="527"/>
    </row>
    <row r="6" spans="2:25">
      <c r="C6" s="528"/>
      <c r="D6" s="536"/>
      <c r="E6" s="536"/>
      <c r="F6" s="536"/>
      <c r="G6" s="536"/>
      <c r="H6" s="536"/>
      <c r="I6" s="530"/>
      <c r="K6" s="528"/>
      <c r="L6" s="536"/>
      <c r="M6" s="536"/>
      <c r="N6" s="530"/>
    </row>
    <row r="7" spans="2:25">
      <c r="C7" s="528"/>
      <c r="D7" s="536"/>
      <c r="E7" s="536"/>
      <c r="F7" s="536"/>
      <c r="G7" s="536"/>
      <c r="H7" s="536"/>
      <c r="I7" s="530"/>
      <c r="K7" s="528"/>
      <c r="L7" s="536"/>
      <c r="M7" s="536"/>
      <c r="N7" s="530"/>
    </row>
    <row r="8" spans="2:25">
      <c r="C8" s="528"/>
      <c r="D8" s="536"/>
      <c r="E8" s="536"/>
      <c r="F8" s="536"/>
      <c r="G8" s="536"/>
      <c r="H8" s="536"/>
      <c r="I8" s="530"/>
      <c r="K8" s="528"/>
      <c r="L8" s="536"/>
      <c r="M8" s="536"/>
      <c r="N8" s="530"/>
    </row>
    <row r="9" spans="2:25">
      <c r="C9" s="528"/>
      <c r="D9" s="536"/>
      <c r="E9" s="536"/>
      <c r="F9" s="536"/>
      <c r="G9" s="536"/>
      <c r="H9" s="536"/>
      <c r="I9" s="530"/>
      <c r="K9" s="528"/>
      <c r="L9" s="536"/>
      <c r="M9" s="536"/>
      <c r="N9" s="530"/>
    </row>
    <row r="10" spans="2:25">
      <c r="C10" s="528"/>
      <c r="D10" s="536"/>
      <c r="E10" s="536"/>
      <c r="F10" s="536"/>
      <c r="G10" s="536"/>
      <c r="H10" s="536"/>
      <c r="I10" s="530"/>
      <c r="K10" s="528"/>
      <c r="L10" s="536"/>
      <c r="M10" s="536"/>
      <c r="N10" s="530"/>
    </row>
    <row r="11" spans="2:25">
      <c r="C11" s="528"/>
      <c r="D11" s="536"/>
      <c r="E11" s="536"/>
      <c r="F11" s="536"/>
      <c r="G11" s="536"/>
      <c r="H11" s="536"/>
      <c r="I11" s="530"/>
      <c r="K11" s="528"/>
      <c r="L11" s="536"/>
      <c r="M11" s="536"/>
      <c r="N11" s="530"/>
    </row>
    <row r="12" spans="2:25">
      <c r="C12" s="528"/>
      <c r="D12" s="536"/>
      <c r="E12" s="536"/>
      <c r="F12" s="536"/>
      <c r="G12" s="536"/>
      <c r="H12" s="536"/>
      <c r="I12" s="530"/>
      <c r="K12" s="528"/>
      <c r="L12" s="536"/>
      <c r="M12" s="536"/>
      <c r="N12" s="530"/>
    </row>
    <row r="13" spans="2:25">
      <c r="C13" s="528"/>
      <c r="D13" s="536"/>
      <c r="E13" s="536"/>
      <c r="F13" s="536"/>
      <c r="G13" s="536"/>
      <c r="H13" s="536"/>
      <c r="I13" s="530"/>
      <c r="K13" s="528"/>
      <c r="L13" s="536"/>
      <c r="M13" s="536"/>
      <c r="N13" s="530"/>
    </row>
    <row r="14" spans="2:25">
      <c r="C14" s="528"/>
      <c r="D14" s="536"/>
      <c r="E14" s="536"/>
      <c r="F14" s="536"/>
      <c r="G14" s="536"/>
      <c r="H14" s="536"/>
      <c r="I14" s="530"/>
      <c r="K14" s="528"/>
      <c r="L14" s="536"/>
      <c r="M14" s="536"/>
      <c r="N14" s="530"/>
    </row>
    <row r="15" spans="2:25">
      <c r="C15" s="528"/>
      <c r="D15" s="536"/>
      <c r="E15" s="536"/>
      <c r="F15" s="536"/>
      <c r="G15" s="536"/>
      <c r="H15" s="536"/>
      <c r="I15" s="530"/>
      <c r="K15" s="528"/>
      <c r="L15" s="536"/>
      <c r="M15" s="536"/>
      <c r="N15" s="530"/>
    </row>
    <row r="16" spans="2:25">
      <c r="C16" s="528"/>
      <c r="D16" s="536"/>
      <c r="E16" s="536"/>
      <c r="F16" s="536"/>
      <c r="G16" s="536"/>
      <c r="H16" s="536"/>
      <c r="I16" s="530"/>
      <c r="K16" s="528"/>
      <c r="L16" s="536"/>
      <c r="M16" s="536"/>
      <c r="N16" s="530"/>
    </row>
    <row r="17" spans="3:14">
      <c r="C17" s="528"/>
      <c r="D17" s="536"/>
      <c r="E17" s="536"/>
      <c r="F17" s="536"/>
      <c r="G17" s="536"/>
      <c r="H17" s="536"/>
      <c r="I17" s="530"/>
      <c r="K17" s="528"/>
      <c r="L17" s="536"/>
      <c r="M17" s="536"/>
      <c r="N17" s="530"/>
    </row>
    <row r="18" spans="3:14">
      <c r="C18" s="528"/>
      <c r="D18" s="536"/>
      <c r="E18" s="536"/>
      <c r="F18" s="536"/>
      <c r="G18" s="536"/>
      <c r="H18" s="536"/>
      <c r="I18" s="530"/>
      <c r="K18" s="528"/>
      <c r="L18" s="536"/>
      <c r="M18" s="536"/>
      <c r="N18" s="530"/>
    </row>
    <row r="19" spans="3:14">
      <c r="C19" s="528"/>
      <c r="D19" s="536"/>
      <c r="E19" s="536"/>
      <c r="F19" s="536"/>
      <c r="G19" s="536"/>
      <c r="H19" s="536"/>
      <c r="I19" s="530"/>
      <c r="K19" s="528"/>
      <c r="L19" s="536"/>
      <c r="M19" s="536"/>
      <c r="N19" s="530"/>
    </row>
    <row r="20" spans="3:14">
      <c r="C20" s="528"/>
      <c r="D20" s="536"/>
      <c r="E20" s="536"/>
      <c r="F20" s="536"/>
      <c r="G20" s="536"/>
      <c r="H20" s="536"/>
      <c r="I20" s="530"/>
      <c r="K20" s="528"/>
      <c r="L20" s="536"/>
      <c r="M20" s="536"/>
      <c r="N20" s="530"/>
    </row>
    <row r="21" spans="3:14">
      <c r="C21" s="531"/>
      <c r="D21" s="532"/>
      <c r="E21" s="532"/>
      <c r="F21" s="532"/>
      <c r="G21" s="532"/>
      <c r="H21" s="532"/>
      <c r="I21" s="533"/>
      <c r="K21" s="531"/>
      <c r="L21" s="532"/>
      <c r="M21" s="532"/>
      <c r="N21" s="533"/>
    </row>
    <row r="22" spans="3:14">
      <c r="C22" s="135" t="s">
        <v>118</v>
      </c>
      <c r="K22" s="135" t="s">
        <v>119</v>
      </c>
    </row>
    <row r="23" spans="3:14">
      <c r="C23" s="525"/>
      <c r="D23" s="526"/>
      <c r="E23" s="526"/>
      <c r="F23" s="526"/>
      <c r="G23" s="526"/>
      <c r="H23" s="526"/>
      <c r="I23" s="527"/>
      <c r="K23" s="525"/>
      <c r="L23" s="526"/>
      <c r="M23" s="526"/>
      <c r="N23" s="527"/>
    </row>
    <row r="24" spans="3:14">
      <c r="C24" s="528"/>
      <c r="D24" s="536"/>
      <c r="E24" s="536"/>
      <c r="F24" s="536"/>
      <c r="G24" s="536"/>
      <c r="H24" s="536"/>
      <c r="I24" s="530"/>
      <c r="K24" s="528"/>
      <c r="L24" s="536"/>
      <c r="M24" s="536"/>
      <c r="N24" s="530"/>
    </row>
    <row r="25" spans="3:14">
      <c r="C25" s="528"/>
      <c r="D25" s="536"/>
      <c r="E25" s="536"/>
      <c r="F25" s="536"/>
      <c r="G25" s="536"/>
      <c r="H25" s="536"/>
      <c r="I25" s="530"/>
      <c r="K25" s="528"/>
      <c r="L25" s="536"/>
      <c r="M25" s="536"/>
      <c r="N25" s="530"/>
    </row>
    <row r="26" spans="3:14">
      <c r="C26" s="528"/>
      <c r="D26" s="536"/>
      <c r="E26" s="536"/>
      <c r="F26" s="536"/>
      <c r="G26" s="536"/>
      <c r="H26" s="536"/>
      <c r="I26" s="530"/>
      <c r="K26" s="528"/>
      <c r="L26" s="536"/>
      <c r="M26" s="536"/>
      <c r="N26" s="530"/>
    </row>
    <row r="27" spans="3:14">
      <c r="C27" s="528"/>
      <c r="D27" s="536"/>
      <c r="E27" s="536"/>
      <c r="F27" s="536"/>
      <c r="G27" s="536"/>
      <c r="H27" s="536"/>
      <c r="I27" s="530"/>
      <c r="K27" s="528"/>
      <c r="L27" s="536"/>
      <c r="M27" s="536"/>
      <c r="N27" s="530"/>
    </row>
    <row r="28" spans="3:14">
      <c r="C28" s="528"/>
      <c r="D28" s="536"/>
      <c r="E28" s="536"/>
      <c r="F28" s="536"/>
      <c r="G28" s="536"/>
      <c r="H28" s="536"/>
      <c r="I28" s="530"/>
      <c r="K28" s="528"/>
      <c r="L28" s="536"/>
      <c r="M28" s="536"/>
      <c r="N28" s="530"/>
    </row>
    <row r="29" spans="3:14">
      <c r="C29" s="528"/>
      <c r="D29" s="536"/>
      <c r="E29" s="536"/>
      <c r="F29" s="536"/>
      <c r="G29" s="536"/>
      <c r="H29" s="536"/>
      <c r="I29" s="530"/>
      <c r="K29" s="528"/>
      <c r="L29" s="536"/>
      <c r="M29" s="536"/>
      <c r="N29" s="530"/>
    </row>
    <row r="30" spans="3:14">
      <c r="C30" s="528"/>
      <c r="D30" s="536"/>
      <c r="E30" s="536"/>
      <c r="F30" s="536"/>
      <c r="G30" s="536"/>
      <c r="H30" s="536"/>
      <c r="I30" s="530"/>
      <c r="K30" s="528"/>
      <c r="L30" s="536"/>
      <c r="M30" s="536"/>
      <c r="N30" s="530"/>
    </row>
    <row r="31" spans="3:14">
      <c r="C31" s="528"/>
      <c r="D31" s="536"/>
      <c r="E31" s="536"/>
      <c r="F31" s="536"/>
      <c r="G31" s="536"/>
      <c r="H31" s="536"/>
      <c r="I31" s="530"/>
      <c r="K31" s="528"/>
      <c r="L31" s="536"/>
      <c r="M31" s="536"/>
      <c r="N31" s="530"/>
    </row>
    <row r="32" spans="3:14">
      <c r="C32" s="528"/>
      <c r="D32" s="536"/>
      <c r="E32" s="536"/>
      <c r="F32" s="536"/>
      <c r="G32" s="536"/>
      <c r="H32" s="536"/>
      <c r="I32" s="530"/>
      <c r="K32" s="528"/>
      <c r="L32" s="536"/>
      <c r="M32" s="536"/>
      <c r="N32" s="530"/>
    </row>
    <row r="33" spans="3:14">
      <c r="C33" s="528"/>
      <c r="D33" s="536"/>
      <c r="E33" s="536"/>
      <c r="F33" s="536"/>
      <c r="G33" s="536"/>
      <c r="H33" s="536"/>
      <c r="I33" s="530"/>
      <c r="K33" s="528"/>
      <c r="L33" s="536"/>
      <c r="M33" s="536"/>
      <c r="N33" s="530"/>
    </row>
    <row r="34" spans="3:14">
      <c r="C34" s="528"/>
      <c r="D34" s="536"/>
      <c r="E34" s="536"/>
      <c r="F34" s="536"/>
      <c r="G34" s="536"/>
      <c r="H34" s="536"/>
      <c r="I34" s="530"/>
      <c r="K34" s="528"/>
      <c r="L34" s="536"/>
      <c r="M34" s="536"/>
      <c r="N34" s="530"/>
    </row>
    <row r="35" spans="3:14">
      <c r="C35" s="528"/>
      <c r="D35" s="536"/>
      <c r="E35" s="536"/>
      <c r="F35" s="536"/>
      <c r="G35" s="536"/>
      <c r="H35" s="536"/>
      <c r="I35" s="530"/>
      <c r="K35" s="528"/>
      <c r="L35" s="536"/>
      <c r="M35" s="536"/>
      <c r="N35" s="530"/>
    </row>
    <row r="36" spans="3:14">
      <c r="C36" s="528"/>
      <c r="D36" s="536"/>
      <c r="E36" s="536"/>
      <c r="F36" s="536"/>
      <c r="G36" s="536"/>
      <c r="H36" s="536"/>
      <c r="I36" s="530"/>
      <c r="K36" s="528"/>
      <c r="L36" s="536"/>
      <c r="M36" s="536"/>
      <c r="N36" s="530"/>
    </row>
    <row r="37" spans="3:14">
      <c r="C37" s="528"/>
      <c r="D37" s="536"/>
      <c r="E37" s="536"/>
      <c r="F37" s="536"/>
      <c r="G37" s="536"/>
      <c r="H37" s="536"/>
      <c r="I37" s="530"/>
      <c r="K37" s="528"/>
      <c r="L37" s="536"/>
      <c r="M37" s="536"/>
      <c r="N37" s="530"/>
    </row>
    <row r="38" spans="3:14">
      <c r="C38" s="528"/>
      <c r="D38" s="536"/>
      <c r="E38" s="536"/>
      <c r="F38" s="536"/>
      <c r="G38" s="536"/>
      <c r="H38" s="536"/>
      <c r="I38" s="530"/>
      <c r="K38" s="528"/>
      <c r="L38" s="536"/>
      <c r="M38" s="536"/>
      <c r="N38" s="530"/>
    </row>
    <row r="39" spans="3:14">
      <c r="C39" s="528"/>
      <c r="D39" s="536"/>
      <c r="E39" s="536"/>
      <c r="F39" s="536"/>
      <c r="G39" s="536"/>
      <c r="H39" s="536"/>
      <c r="I39" s="530"/>
      <c r="K39" s="528"/>
      <c r="L39" s="536"/>
      <c r="M39" s="536"/>
      <c r="N39" s="530"/>
    </row>
    <row r="40" spans="3:14">
      <c r="C40" s="528"/>
      <c r="D40" s="536"/>
      <c r="E40" s="536"/>
      <c r="F40" s="536"/>
      <c r="G40" s="536"/>
      <c r="H40" s="536"/>
      <c r="I40" s="530"/>
      <c r="K40" s="528"/>
      <c r="L40" s="536"/>
      <c r="M40" s="536"/>
      <c r="N40" s="530"/>
    </row>
    <row r="41" spans="3:14">
      <c r="C41" s="531"/>
      <c r="D41" s="532"/>
      <c r="E41" s="532"/>
      <c r="F41" s="532"/>
      <c r="G41" s="532"/>
      <c r="H41" s="532"/>
      <c r="I41" s="533"/>
      <c r="K41" s="531"/>
      <c r="L41" s="532"/>
      <c r="M41" s="532"/>
      <c r="N41" s="533"/>
    </row>
    <row r="42" spans="3:14">
      <c r="C42" s="135" t="s">
        <v>120</v>
      </c>
      <c r="K42" s="135" t="s">
        <v>121</v>
      </c>
    </row>
  </sheetData>
  <sheetProtection algorithmName="SHA-512" hashValue="yDO+opg33coXWl8hGwmyYMsWMWxDAoTjk5LkkJq6r9h2nTtFTHWizXFVkfXKSrGzn97xV1xnX3z2gsTutYYsrA==" saltValue="5uMN8jbZRHdwCrjZ8eCXWg==" spinCount="100000" sheet="1" insertHyperlinks="0" selectLockedCells="1"/>
  <protectedRanges>
    <protectedRange sqref="C5:I21 K5:N21 C23:I41 K23:N41" name="Range1"/>
  </protectedRanges>
  <mergeCells count="4">
    <mergeCell ref="C5:I21"/>
    <mergeCell ref="K5:N21"/>
    <mergeCell ref="C23:I41"/>
    <mergeCell ref="K23:N41"/>
  </mergeCells>
  <phoneticPr fontId="15" type="noConversion"/>
  <printOptions horizontalCentered="1"/>
  <pageMargins left="0.25" right="0.25" top="0.75000000000000011" bottom="0.75000000000000011" header="0.30000000000000004" footer="0.30000000000000004"/>
  <pageSetup orientation="portrait" r:id="rId1"/>
  <headerFooter>
    <oddFooter>&amp;L&amp;"Arial,Normal"&amp;8&amp;K00-048&amp;F&amp;C&amp;"Arial (Cuerpo),Normal"&amp;8&amp;K00-048&amp;A&amp;R&amp;"Arial,Normal"&amp;9&amp;K01+047Página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C00000"/>
  </sheetPr>
  <dimension ref="B1:Z44"/>
  <sheetViews>
    <sheetView showGridLines="0" showRowColHeaders="0" zoomScaleNormal="100" zoomScalePageLayoutView="158" workbookViewId="0">
      <selection activeCell="C4" sqref="C4:N20"/>
    </sheetView>
  </sheetViews>
  <sheetFormatPr baseColWidth="10" defaultColWidth="10" defaultRowHeight="15"/>
  <cols>
    <col min="1" max="1" width="4.6640625" customWidth="1"/>
    <col min="2" max="2" width="2.77734375" customWidth="1"/>
    <col min="3" max="3" width="10.33203125" customWidth="1"/>
    <col min="4" max="4" width="6.21875" customWidth="1"/>
    <col min="5" max="5" width="7.44140625" customWidth="1"/>
    <col min="6" max="6" width="0.6640625" customWidth="1"/>
    <col min="7" max="7" width="7.33203125" customWidth="1"/>
    <col min="8" max="8" width="0.6640625" customWidth="1"/>
    <col min="9" max="9" width="7.33203125" customWidth="1"/>
    <col min="10" max="10" width="0.6640625" customWidth="1"/>
    <col min="11" max="11" width="8.88671875" customWidth="1"/>
    <col min="12" max="12" width="6.88671875" customWidth="1"/>
    <col min="13" max="13" width="6.33203125" customWidth="1"/>
    <col min="14" max="14" width="15.6640625" customWidth="1"/>
    <col min="15" max="15" width="1.6640625" hidden="1" customWidth="1"/>
    <col min="16" max="16" width="10" style="68" hidden="1" customWidth="1"/>
    <col min="17" max="17" width="3" style="68" hidden="1" customWidth="1"/>
    <col min="18" max="18" width="8.44140625" style="68" hidden="1" customWidth="1"/>
    <col min="19" max="19" width="5.33203125" style="68" hidden="1" customWidth="1"/>
    <col min="20" max="20" width="8.44140625" style="68" hidden="1" customWidth="1"/>
    <col min="21" max="21" width="7.109375" style="68" hidden="1" customWidth="1"/>
    <col min="22" max="22" width="6" style="68" hidden="1" customWidth="1"/>
    <col min="23" max="24" width="8.44140625" style="68" hidden="1" customWidth="1"/>
    <col min="25" max="25" width="9" style="68" hidden="1" customWidth="1"/>
    <col min="26" max="26" width="8.44140625" hidden="1" customWidth="1"/>
    <col min="27" max="50" width="8.44140625" customWidth="1"/>
  </cols>
  <sheetData>
    <row r="1" spans="2:25" ht="26.1" customHeight="1">
      <c r="B1" s="5" t="s">
        <v>528</v>
      </c>
      <c r="C1" s="6"/>
      <c r="D1" s="6"/>
      <c r="E1" s="6"/>
      <c r="F1" s="6"/>
      <c r="G1" s="432"/>
      <c r="H1" s="432"/>
      <c r="I1" s="432"/>
      <c r="J1" s="432"/>
      <c r="K1" s="431"/>
      <c r="L1" s="431"/>
      <c r="M1" s="43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2:25">
      <c r="B2" s="343" t="str">
        <f>"Para la evaluación energética: " &amp; tipo_eval</f>
        <v>Para la evaluación energética: Camino de Cumplimiento</v>
      </c>
      <c r="G2" s="44"/>
      <c r="H2" s="44"/>
      <c r="I2" s="44"/>
      <c r="J2" s="44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2:25">
      <c r="B3" s="3"/>
      <c r="P3"/>
      <c r="Q3"/>
      <c r="R3"/>
      <c r="S3"/>
      <c r="T3"/>
      <c r="U3"/>
      <c r="V3"/>
      <c r="W3"/>
      <c r="X3"/>
      <c r="Y3" s="70"/>
    </row>
    <row r="4" spans="2:25">
      <c r="C4" s="525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7"/>
    </row>
    <row r="5" spans="2:25">
      <c r="C5" s="528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0"/>
    </row>
    <row r="6" spans="2:25">
      <c r="C6" s="528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0"/>
    </row>
    <row r="7" spans="2:25">
      <c r="C7" s="528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0"/>
    </row>
    <row r="8" spans="2:25">
      <c r="C8" s="528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0"/>
    </row>
    <row r="9" spans="2:25">
      <c r="C9" s="528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0"/>
    </row>
    <row r="10" spans="2:25">
      <c r="C10" s="528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0"/>
    </row>
    <row r="11" spans="2:25">
      <c r="C11" s="528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0"/>
    </row>
    <row r="12" spans="2:25">
      <c r="C12" s="528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0"/>
    </row>
    <row r="13" spans="2:25">
      <c r="C13" s="528"/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0"/>
    </row>
    <row r="14" spans="2:25">
      <c r="C14" s="528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0"/>
    </row>
    <row r="15" spans="2:25">
      <c r="C15" s="528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0"/>
    </row>
    <row r="16" spans="2:25">
      <c r="C16" s="528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0"/>
    </row>
    <row r="17" spans="3:14">
      <c r="C17" s="528"/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0"/>
    </row>
    <row r="18" spans="3:14">
      <c r="C18" s="528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0"/>
    </row>
    <row r="19" spans="3:14">
      <c r="C19" s="528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0"/>
    </row>
    <row r="20" spans="3:14">
      <c r="C20" s="531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3"/>
    </row>
    <row r="21" spans="3:14">
      <c r="C21" s="135" t="s">
        <v>122</v>
      </c>
      <c r="K21" s="135"/>
    </row>
    <row r="22" spans="3:14" ht="15.75">
      <c r="C22" s="1" t="s">
        <v>319</v>
      </c>
      <c r="F22" s="1"/>
      <c r="G22" s="1"/>
      <c r="H22" s="1"/>
      <c r="I22" s="1"/>
      <c r="K22" s="428"/>
      <c r="L22" s="24" t="s">
        <v>318</v>
      </c>
    </row>
    <row r="23" spans="3:14" ht="15.75">
      <c r="C23" s="23"/>
      <c r="D23" s="23"/>
      <c r="E23" s="23"/>
      <c r="F23" s="23"/>
      <c r="G23" s="23"/>
      <c r="H23" s="23"/>
      <c r="I23" s="23"/>
    </row>
    <row r="24" spans="3:14">
      <c r="C24" s="525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7"/>
    </row>
    <row r="25" spans="3:14">
      <c r="C25" s="528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0"/>
    </row>
    <row r="26" spans="3:14">
      <c r="C26" s="528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0"/>
    </row>
    <row r="27" spans="3:14">
      <c r="C27" s="528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0"/>
    </row>
    <row r="28" spans="3:14">
      <c r="C28" s="528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0"/>
    </row>
    <row r="29" spans="3:14">
      <c r="C29" s="528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0"/>
    </row>
    <row r="30" spans="3:14">
      <c r="C30" s="528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0"/>
    </row>
    <row r="31" spans="3:14">
      <c r="C31" s="528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0"/>
    </row>
    <row r="32" spans="3:14">
      <c r="C32" s="528"/>
      <c r="D32" s="536"/>
      <c r="E32" s="536"/>
      <c r="F32" s="536"/>
      <c r="G32" s="536"/>
      <c r="H32" s="536"/>
      <c r="I32" s="536"/>
      <c r="J32" s="536"/>
      <c r="K32" s="536"/>
      <c r="L32" s="536"/>
      <c r="M32" s="536"/>
      <c r="N32" s="530"/>
    </row>
    <row r="33" spans="3:14">
      <c r="C33" s="528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N33" s="530"/>
    </row>
    <row r="34" spans="3:14">
      <c r="C34" s="528"/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0"/>
    </row>
    <row r="35" spans="3:14">
      <c r="C35" s="528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0"/>
    </row>
    <row r="36" spans="3:14">
      <c r="C36" s="528"/>
      <c r="D36" s="536"/>
      <c r="E36" s="536"/>
      <c r="F36" s="536"/>
      <c r="G36" s="536"/>
      <c r="H36" s="536"/>
      <c r="I36" s="536"/>
      <c r="J36" s="536"/>
      <c r="K36" s="536"/>
      <c r="L36" s="536"/>
      <c r="M36" s="536"/>
      <c r="N36" s="530"/>
    </row>
    <row r="37" spans="3:14">
      <c r="C37" s="528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0"/>
    </row>
    <row r="38" spans="3:14">
      <c r="C38" s="528"/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0"/>
    </row>
    <row r="39" spans="3:14">
      <c r="C39" s="528"/>
      <c r="D39" s="536"/>
      <c r="E39" s="536"/>
      <c r="F39" s="536"/>
      <c r="G39" s="536"/>
      <c r="H39" s="536"/>
      <c r="I39" s="536"/>
      <c r="J39" s="536"/>
      <c r="K39" s="536"/>
      <c r="L39" s="536"/>
      <c r="M39" s="536"/>
      <c r="N39" s="530"/>
    </row>
    <row r="40" spans="3:14">
      <c r="C40" s="528"/>
      <c r="D40" s="536"/>
      <c r="E40" s="536"/>
      <c r="F40" s="536"/>
      <c r="G40" s="536"/>
      <c r="H40" s="536"/>
      <c r="I40" s="536"/>
      <c r="J40" s="536"/>
      <c r="K40" s="536"/>
      <c r="L40" s="536"/>
      <c r="M40" s="536"/>
      <c r="N40" s="530"/>
    </row>
    <row r="41" spans="3:14">
      <c r="C41" s="528"/>
      <c r="D41" s="536"/>
      <c r="E41" s="536"/>
      <c r="F41" s="536"/>
      <c r="G41" s="536"/>
      <c r="H41" s="536"/>
      <c r="I41" s="536"/>
      <c r="J41" s="536"/>
      <c r="K41" s="536"/>
      <c r="L41" s="536"/>
      <c r="M41" s="536"/>
      <c r="N41" s="530"/>
    </row>
    <row r="42" spans="3:14">
      <c r="C42" s="531"/>
      <c r="D42" s="532"/>
      <c r="E42" s="532"/>
      <c r="F42" s="532"/>
      <c r="G42" s="532"/>
      <c r="H42" s="532"/>
      <c r="I42" s="532"/>
      <c r="J42" s="532"/>
      <c r="K42" s="532"/>
      <c r="L42" s="532"/>
      <c r="M42" s="532"/>
      <c r="N42" s="533"/>
    </row>
    <row r="43" spans="3:14">
      <c r="C43" s="135" t="s">
        <v>123</v>
      </c>
      <c r="K43" s="135"/>
    </row>
    <row r="44" spans="3:14" ht="15.75">
      <c r="C44" s="1" t="s">
        <v>320</v>
      </c>
      <c r="D44" s="1"/>
      <c r="E44" s="1"/>
      <c r="F44" s="1"/>
      <c r="G44" s="1"/>
      <c r="H44" s="1"/>
      <c r="I44" s="1"/>
      <c r="K44" s="428"/>
      <c r="L44" s="24" t="s">
        <v>318</v>
      </c>
    </row>
  </sheetData>
  <sheetProtection algorithmName="SHA-512" hashValue="B/QzFzIFN1KuZQP8oOCxkn3sINscZYCrprSYBt3ZxsokpcDQkdEgRPPxcMM7OQeZlPgoFeqfm7/jTXjIhhN6DA==" saltValue="TTv4PgOxropgH6EuokteMw==" spinCount="100000" sheet="1" scenarios="1" selectLockedCells="1"/>
  <protectedRanges>
    <protectedRange sqref="K22 K44 C4 C4 C24" name="Range1"/>
  </protectedRanges>
  <mergeCells count="2">
    <mergeCell ref="C4:N20"/>
    <mergeCell ref="C24:N42"/>
  </mergeCells>
  <phoneticPr fontId="15" type="noConversion"/>
  <printOptions horizontalCentered="1"/>
  <pageMargins left="0.25" right="0.25" top="0.75000000000000011" bottom="0.75000000000000011" header="0.30000000000000004" footer="0.30000000000000004"/>
  <pageSetup orientation="portrait" r:id="rId1"/>
  <headerFooter>
    <oddFooter>&amp;L&amp;"Arial,Normal"&amp;8&amp;K00-048&amp;F&amp;C&amp;"Arial (Cuerpo),Normal"&amp;8&amp;K00-048&amp;A&amp;R&amp;"Arial,Normal"&amp;9&amp;K01+047Página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91</vt:i4>
      </vt:variant>
    </vt:vector>
  </HeadingPairs>
  <TitlesOfParts>
    <vt:vector size="105" baseType="lpstr">
      <vt:lpstr>Instrucciones</vt:lpstr>
      <vt:lpstr>Data</vt:lpstr>
      <vt:lpstr>variantes</vt:lpstr>
      <vt:lpstr>InformaciónProyecto</vt:lpstr>
      <vt:lpstr>Paredes</vt:lpstr>
      <vt:lpstr>Ventanas</vt:lpstr>
      <vt:lpstr>% Ventana-Pared</vt:lpstr>
      <vt:lpstr>% Ventana-Pared (2)</vt:lpstr>
      <vt:lpstr>Sombra</vt:lpstr>
      <vt:lpstr>Techos</vt:lpstr>
      <vt:lpstr>AA</vt:lpstr>
      <vt:lpstr>Evaluacion</vt:lpstr>
      <vt:lpstr>Ref-1</vt:lpstr>
      <vt:lpstr>Ref-2</vt:lpstr>
      <vt:lpstr>años</vt:lpstr>
      <vt:lpstr>area</vt:lpstr>
      <vt:lpstr>'% Ventana-Pared'!Área_de_impresión</vt:lpstr>
      <vt:lpstr>'% Ventana-Pared (2)'!Área_de_impresión</vt:lpstr>
      <vt:lpstr>AA!Área_de_impresión</vt:lpstr>
      <vt:lpstr>Evaluacion!Área_de_impresión</vt:lpstr>
      <vt:lpstr>InformaciónProyecto!Área_de_impresión</vt:lpstr>
      <vt:lpstr>Sombra!Área_de_impresión</vt:lpstr>
      <vt:lpstr>Techos!Área_de_impresión</vt:lpstr>
      <vt:lpstr>Ventanas!Área_de_impresión</vt:lpstr>
      <vt:lpstr>calleno</vt:lpstr>
      <vt:lpstr>camino</vt:lpstr>
      <vt:lpstr>camino_t</vt:lpstr>
      <vt:lpstr>camino_tf</vt:lpstr>
      <vt:lpstr>camino2</vt:lpstr>
      <vt:lpstr>coordX</vt:lpstr>
      <vt:lpstr>coordY</vt:lpstr>
      <vt:lpstr>COP</vt:lpstr>
      <vt:lpstr>ddmmchk</vt:lpstr>
      <vt:lpstr>diasmes</vt:lpstr>
      <vt:lpstr>FP_SO</vt:lpstr>
      <vt:lpstr>FP_sur</vt:lpstr>
      <vt:lpstr>hvac_unit</vt:lpstr>
      <vt:lpstr>Info_completado</vt:lpstr>
      <vt:lpstr>Info_Municipio</vt:lpstr>
      <vt:lpstr>Info_Proyecto_Nombre</vt:lpstr>
      <vt:lpstr>list1</vt:lpstr>
      <vt:lpstr>list3</vt:lpstr>
      <vt:lpstr>list5</vt:lpstr>
      <vt:lpstr>listo</vt:lpstr>
      <vt:lpstr>Mapaplaca</vt:lpstr>
      <vt:lpstr>meses</vt:lpstr>
      <vt:lpstr>metodo</vt:lpstr>
      <vt:lpstr>msg_eval</vt:lpstr>
      <vt:lpstr>MV_F1</vt:lpstr>
      <vt:lpstr>MV_F2</vt:lpstr>
      <vt:lpstr>MV_Pos</vt:lpstr>
      <vt:lpstr>MV_Ppal</vt:lpstr>
      <vt:lpstr>N_Arq</vt:lpstr>
      <vt:lpstr>N_Ing</vt:lpstr>
      <vt:lpstr>N_prop</vt:lpstr>
      <vt:lpstr>N_unidades</vt:lpstr>
      <vt:lpstr>n_var</vt:lpstr>
      <vt:lpstr>NI_Arq</vt:lpstr>
      <vt:lpstr>NI_Ing</vt:lpstr>
      <vt:lpstr>niveles</vt:lpstr>
      <vt:lpstr>pared_U</vt:lpstr>
      <vt:lpstr>peor_aa</vt:lpstr>
      <vt:lpstr>peor_g</vt:lpstr>
      <vt:lpstr>peor_p</vt:lpstr>
      <vt:lpstr>peor_so</vt:lpstr>
      <vt:lpstr>peor_ss</vt:lpstr>
      <vt:lpstr>peor_t</vt:lpstr>
      <vt:lpstr>peor_v</vt:lpstr>
      <vt:lpstr>peor_vp</vt:lpstr>
      <vt:lpstr>rango_pcnt</vt:lpstr>
      <vt:lpstr>sino</vt:lpstr>
      <vt:lpstr>t_blank</vt:lpstr>
      <vt:lpstr>t_caminos</vt:lpstr>
      <vt:lpstr>t_edificios</vt:lpstr>
      <vt:lpstr>t_exe</vt:lpstr>
      <vt:lpstr>t_lista_larga</vt:lpstr>
      <vt:lpstr>t_mod</vt:lpstr>
      <vt:lpstr>t_ofi</vt:lpstr>
      <vt:lpstr>t_res</vt:lpstr>
      <vt:lpstr>t_sAA</vt:lpstr>
      <vt:lpstr>t_t1</vt:lpstr>
      <vt:lpstr>t_t2</vt:lpstr>
      <vt:lpstr>Techo_U</vt:lpstr>
      <vt:lpstr>tf_blank</vt:lpstr>
      <vt:lpstr>tf_exe</vt:lpstr>
      <vt:lpstr>tf_mod</vt:lpstr>
      <vt:lpstr>tf_ofi</vt:lpstr>
      <vt:lpstr>tf_res</vt:lpstr>
      <vt:lpstr>tf_sAA</vt:lpstr>
      <vt:lpstr>tf_t1</vt:lpstr>
      <vt:lpstr>tf_t2</vt:lpstr>
      <vt:lpstr>tipo_edif</vt:lpstr>
      <vt:lpstr>tipo_eval</vt:lpstr>
      <vt:lpstr>UTM_placa</vt:lpstr>
      <vt:lpstr>variante</vt:lpstr>
      <vt:lpstr>Ventanas_g</vt:lpstr>
      <vt:lpstr>Ventanas_U</vt:lpstr>
      <vt:lpstr>vmtf_AA</vt:lpstr>
      <vt:lpstr>vmtf_g</vt:lpstr>
      <vt:lpstr>vmtf_p</vt:lpstr>
      <vt:lpstr>vmtf_so</vt:lpstr>
      <vt:lpstr>vmtf_ss</vt:lpstr>
      <vt:lpstr>vmtf_t</vt:lpstr>
      <vt:lpstr>vmtf_v</vt:lpstr>
      <vt:lpstr>vmtf_vp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</dc:creator>
  <cp:lastModifiedBy>Marta Bernal</cp:lastModifiedBy>
  <cp:lastPrinted>2020-01-02T20:56:44Z</cp:lastPrinted>
  <dcterms:created xsi:type="dcterms:W3CDTF">2017-07-21T16:54:36Z</dcterms:created>
  <dcterms:modified xsi:type="dcterms:W3CDTF">2020-01-07T18:54:09Z</dcterms:modified>
</cp:coreProperties>
</file>